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d.docs.live.net/bf1d893c307e17a3/Documents/Excel/"/>
    </mc:Choice>
  </mc:AlternateContent>
  <xr:revisionPtr revIDLastSave="8" documentId="8_{4FCA2085-73FD-4646-9F33-1C799BF11BC2}" xr6:coauthVersionLast="47" xr6:coauthVersionMax="47" xr10:uidLastSave="{B3502AF5-CB76-4873-A881-D8EA56CA2BA1}"/>
  <bookViews>
    <workbookView xWindow="-110" yWindow="-110" windowWidth="19420" windowHeight="10300" activeTab="2" xr2:uid="{00000000-000D-0000-FFFF-FFFF00000000}"/>
  </bookViews>
  <sheets>
    <sheet name="Special Help Table" sheetId="1" r:id="rId1"/>
    <sheet name="Special Library Search" sheetId="2" r:id="rId2"/>
    <sheet name="Libraray Search" sheetId="3" r:id="rId3"/>
  </sheets>
  <definedNames>
    <definedName name="ExternalData_1" localSheetId="0">'Special Help Table'!$A$1:$N$1084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5" i="1" l="1" a="1"/>
  <c r="B35" i="1" s="1"/>
  <c r="B3" i="1" a="1"/>
  <c r="B3" i="1"/>
  <c r="B4" i="1" a="1"/>
  <c r="B4" i="1" s="1"/>
  <c r="B5" i="1" a="1"/>
  <c r="B5" i="1" s="1"/>
  <c r="B6" i="1" a="1"/>
  <c r="B6" i="1" s="1"/>
  <c r="B7" i="1" a="1"/>
  <c r="B7" i="1" s="1"/>
  <c r="B8" i="1" a="1"/>
  <c r="B8" i="1" s="1"/>
  <c r="B9" i="1" a="1"/>
  <c r="B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  <c r="B15" i="1" a="1"/>
  <c r="B15" i="1" s="1"/>
  <c r="B16" i="1" a="1"/>
  <c r="B16" i="1" s="1"/>
  <c r="B17" i="1" a="1"/>
  <c r="B17" i="1" s="1"/>
  <c r="B18" i="1" a="1"/>
  <c r="B18" i="1" s="1"/>
  <c r="B19" i="1" a="1"/>
  <c r="B19" i="1" s="1"/>
  <c r="B20" i="1" a="1"/>
  <c r="B20" i="1" s="1"/>
  <c r="B21" i="1" a="1"/>
  <c r="B21" i="1" s="1"/>
  <c r="B22" i="1" a="1"/>
  <c r="B22" i="1" s="1"/>
  <c r="B23" i="1" a="1"/>
  <c r="B23" i="1" s="1"/>
  <c r="B24" i="1" a="1"/>
  <c r="B24" i="1" s="1"/>
  <c r="B25" i="1" a="1"/>
  <c r="B25" i="1" s="1"/>
  <c r="B26" i="1" a="1"/>
  <c r="B26" i="1" s="1"/>
  <c r="B27" i="1" a="1"/>
  <c r="B27" i="1" s="1"/>
  <c r="B28" i="1" a="1"/>
  <c r="B28" i="1" s="1"/>
  <c r="B29" i="1" a="1"/>
  <c r="B29" i="1" s="1"/>
  <c r="B30" i="1" a="1"/>
  <c r="B30" i="1" s="1"/>
  <c r="B31" i="1" a="1"/>
  <c r="B31" i="1"/>
  <c r="B32" i="1" a="1"/>
  <c r="B32" i="1" s="1"/>
  <c r="B33" i="1" a="1"/>
  <c r="B33" i="1" s="1"/>
  <c r="B34" i="1" a="1"/>
  <c r="B34" i="1" s="1"/>
  <c r="B36" i="1" a="1"/>
  <c r="B36" i="1" s="1"/>
  <c r="B37" i="1" a="1"/>
  <c r="B37" i="1" s="1"/>
  <c r="B38" i="1" a="1"/>
  <c r="B38" i="1" s="1"/>
  <c r="B39" i="1" a="1"/>
  <c r="B39" i="1" s="1"/>
  <c r="B40" i="1" a="1"/>
  <c r="B40" i="1" s="1"/>
  <c r="B41" i="1" a="1"/>
  <c r="B41" i="1" s="1"/>
  <c r="B42" i="1" a="1"/>
  <c r="B42" i="1" s="1"/>
  <c r="B43" i="1" a="1"/>
  <c r="B43" i="1"/>
  <c r="B44" i="1" a="1"/>
  <c r="B44" i="1" s="1"/>
  <c r="B45" i="1" a="1"/>
  <c r="B45" i="1" s="1"/>
  <c r="B46" i="1" a="1"/>
  <c r="B46" i="1" s="1"/>
  <c r="B47" i="1" a="1"/>
  <c r="B47" i="1"/>
  <c r="B48" i="1" a="1"/>
  <c r="B48" i="1" s="1"/>
  <c r="B49" i="1" a="1"/>
  <c r="B49" i="1" s="1"/>
  <c r="B50" i="1" a="1"/>
  <c r="B50" i="1" s="1"/>
  <c r="B51" i="1" a="1"/>
  <c r="B51" i="1" s="1"/>
  <c r="B52" i="1" a="1"/>
  <c r="B52" i="1" s="1"/>
  <c r="B53" i="1" a="1"/>
  <c r="B53" i="1" s="1"/>
  <c r="B54" i="1" a="1"/>
  <c r="B54" i="1" s="1"/>
  <c r="B55" i="1" a="1"/>
  <c r="B55" i="1" s="1"/>
  <c r="B56" i="1" a="1"/>
  <c r="B56" i="1" s="1"/>
  <c r="B57" i="1" a="1"/>
  <c r="B57" i="1" s="1"/>
  <c r="B58" i="1" a="1"/>
  <c r="B58" i="1" s="1"/>
  <c r="B59" i="1" a="1"/>
  <c r="B59" i="1" s="1"/>
  <c r="B60" i="1" a="1"/>
  <c r="B60" i="1" s="1"/>
  <c r="B61" i="1" a="1"/>
  <c r="B61" i="1" s="1"/>
  <c r="B62" i="1" a="1"/>
  <c r="B62" i="1" s="1"/>
  <c r="B63" i="1" a="1"/>
  <c r="B63" i="1"/>
  <c r="B64" i="1" a="1"/>
  <c r="B64" i="1" s="1"/>
  <c r="B65" i="1" a="1"/>
  <c r="B65" i="1" s="1"/>
  <c r="B66" i="1" a="1"/>
  <c r="B66" i="1" s="1"/>
  <c r="B67" i="1" a="1"/>
  <c r="B67" i="1"/>
  <c r="B68" i="1" a="1"/>
  <c r="B68" i="1" s="1"/>
  <c r="B69" i="1" a="1"/>
  <c r="B69" i="1" s="1"/>
  <c r="B70" i="1" a="1"/>
  <c r="B70" i="1" s="1"/>
  <c r="B71" i="1" a="1"/>
  <c r="B71" i="1"/>
  <c r="B72" i="1" a="1"/>
  <c r="B72" i="1" s="1"/>
  <c r="B73" i="1" a="1"/>
  <c r="B73" i="1" s="1"/>
  <c r="B74" i="1" a="1"/>
  <c r="B74" i="1" s="1"/>
  <c r="B75" i="1" a="1"/>
  <c r="B75" i="1"/>
  <c r="B76" i="1" a="1"/>
  <c r="B76" i="1" s="1"/>
  <c r="B77" i="1" a="1"/>
  <c r="B77" i="1" s="1"/>
  <c r="B78" i="1" a="1"/>
  <c r="B78" i="1" s="1"/>
  <c r="B79" i="1" a="1"/>
  <c r="B79" i="1"/>
  <c r="B80" i="1" a="1"/>
  <c r="B80" i="1" s="1"/>
  <c r="B81" i="1" a="1"/>
  <c r="B81" i="1" s="1"/>
  <c r="B82" i="1" a="1"/>
  <c r="B82" i="1" s="1"/>
  <c r="B83" i="1" a="1"/>
  <c r="B83" i="1" s="1"/>
  <c r="B84" i="1" a="1"/>
  <c r="B84" i="1" s="1"/>
  <c r="B85" i="1" a="1"/>
  <c r="B85" i="1" s="1"/>
  <c r="B86" i="1" a="1"/>
  <c r="B86" i="1" s="1"/>
  <c r="B87" i="1" a="1"/>
  <c r="B87" i="1" s="1"/>
  <c r="B88" i="1" a="1"/>
  <c r="B88" i="1" s="1"/>
  <c r="B89" i="1" a="1"/>
  <c r="B89" i="1" s="1"/>
  <c r="B90" i="1" a="1"/>
  <c r="B90" i="1" s="1"/>
  <c r="B91" i="1" a="1"/>
  <c r="B91" i="1" s="1"/>
  <c r="B92" i="1" a="1"/>
  <c r="B92" i="1" s="1"/>
  <c r="B93" i="1" a="1"/>
  <c r="B93" i="1" s="1"/>
  <c r="B94" i="1" a="1"/>
  <c r="B94" i="1" s="1"/>
  <c r="B95" i="1" a="1"/>
  <c r="B95" i="1" s="1"/>
  <c r="B96" i="1" a="1"/>
  <c r="B96" i="1" s="1"/>
  <c r="B97" i="1" a="1"/>
  <c r="B97" i="1" s="1"/>
  <c r="B98" i="1" a="1"/>
  <c r="B98" i="1" s="1"/>
  <c r="B99" i="1" a="1"/>
  <c r="B99" i="1"/>
  <c r="B100" i="1" a="1"/>
  <c r="B100" i="1" s="1"/>
  <c r="B101" i="1" a="1"/>
  <c r="B101" i="1" s="1"/>
  <c r="B102" i="1" a="1"/>
  <c r="B102" i="1" s="1"/>
  <c r="B103" i="1" a="1"/>
  <c r="B103" i="1"/>
  <c r="B104" i="1" a="1"/>
  <c r="B104" i="1" s="1"/>
  <c r="B105" i="1" a="1"/>
  <c r="B105" i="1" s="1"/>
  <c r="B106" i="1" a="1"/>
  <c r="B106" i="1" s="1"/>
  <c r="B107" i="1" a="1"/>
  <c r="B107" i="1"/>
  <c r="B108" i="1" a="1"/>
  <c r="B108" i="1" s="1"/>
  <c r="B109" i="1" a="1"/>
  <c r="B109" i="1" s="1"/>
  <c r="B110" i="1" a="1"/>
  <c r="B110" i="1" s="1"/>
  <c r="B111" i="1" a="1"/>
  <c r="B111" i="1" s="1"/>
  <c r="B112" i="1" a="1"/>
  <c r="B112" i="1" s="1"/>
  <c r="B113" i="1" a="1"/>
  <c r="B113" i="1" s="1"/>
  <c r="B114" i="1" a="1"/>
  <c r="B114" i="1" s="1"/>
  <c r="B115" i="1" a="1"/>
  <c r="B115" i="1" s="1"/>
  <c r="B116" i="1" a="1"/>
  <c r="B116" i="1" s="1"/>
  <c r="B117" i="1" a="1"/>
  <c r="B117" i="1" s="1"/>
  <c r="B118" i="1" a="1"/>
  <c r="B118" i="1" s="1"/>
  <c r="B119" i="1" a="1"/>
  <c r="B119" i="1" s="1"/>
  <c r="B120" i="1" a="1"/>
  <c r="B120" i="1" s="1"/>
  <c r="B121" i="1" a="1"/>
  <c r="B121" i="1" s="1"/>
  <c r="B122" i="1" a="1"/>
  <c r="B122" i="1" s="1"/>
  <c r="B123" i="1" a="1"/>
  <c r="B123" i="1" s="1"/>
  <c r="B124" i="1" a="1"/>
  <c r="B124" i="1" s="1"/>
  <c r="B125" i="1" a="1"/>
  <c r="B125" i="1" s="1"/>
  <c r="B126" i="1" a="1"/>
  <c r="B126" i="1" s="1"/>
  <c r="B127" i="1" a="1"/>
  <c r="B127" i="1" s="1"/>
  <c r="B128" i="1" a="1"/>
  <c r="B128" i="1" s="1"/>
  <c r="B129" i="1" a="1"/>
  <c r="B129" i="1" s="1"/>
  <c r="B130" i="1" a="1"/>
  <c r="B130" i="1" s="1"/>
  <c r="B131" i="1" a="1"/>
  <c r="B131" i="1"/>
  <c r="B132" i="1" a="1"/>
  <c r="B132" i="1" s="1"/>
  <c r="B133" i="1" a="1"/>
  <c r="B133" i="1" s="1"/>
  <c r="B134" i="1" a="1"/>
  <c r="B134" i="1" s="1"/>
  <c r="B135" i="1" a="1"/>
  <c r="B135" i="1"/>
  <c r="B136" i="1" a="1"/>
  <c r="B136" i="1" s="1"/>
  <c r="B137" i="1" a="1"/>
  <c r="B137" i="1" s="1"/>
  <c r="B138" i="1" a="1"/>
  <c r="B138" i="1" s="1"/>
  <c r="B139" i="1" a="1"/>
  <c r="B139" i="1"/>
  <c r="B140" i="1" a="1"/>
  <c r="B140" i="1" s="1"/>
  <c r="B141" i="1" a="1"/>
  <c r="B141" i="1" s="1"/>
  <c r="B142" i="1" a="1"/>
  <c r="B142" i="1" s="1"/>
  <c r="B143" i="1" a="1"/>
  <c r="B143" i="1" s="1"/>
  <c r="B144" i="1" a="1"/>
  <c r="B144" i="1" s="1"/>
  <c r="B145" i="1" a="1"/>
  <c r="B145" i="1" s="1"/>
  <c r="B146" i="1" a="1"/>
  <c r="B146" i="1" s="1"/>
  <c r="B147" i="1" a="1"/>
  <c r="B147" i="1" s="1"/>
  <c r="B148" i="1" a="1"/>
  <c r="B148" i="1" s="1"/>
  <c r="B149" i="1" a="1"/>
  <c r="B149" i="1" s="1"/>
  <c r="B150" i="1" a="1"/>
  <c r="B150" i="1" s="1"/>
  <c r="B151" i="1" a="1"/>
  <c r="B151" i="1" s="1"/>
  <c r="B152" i="1" a="1"/>
  <c r="B152" i="1" s="1"/>
  <c r="B153" i="1" a="1"/>
  <c r="B153" i="1" s="1"/>
  <c r="B154" i="1" a="1"/>
  <c r="B154" i="1" s="1"/>
  <c r="B155" i="1" a="1"/>
  <c r="B155" i="1" s="1"/>
  <c r="B156" i="1" a="1"/>
  <c r="B156" i="1" s="1"/>
  <c r="B157" i="1" a="1"/>
  <c r="B157" i="1" s="1"/>
  <c r="B158" i="1" a="1"/>
  <c r="B158" i="1" s="1"/>
  <c r="B159" i="1" a="1"/>
  <c r="B159" i="1" s="1"/>
  <c r="B160" i="1" a="1"/>
  <c r="B160" i="1" s="1"/>
  <c r="B161" i="1" a="1"/>
  <c r="B161" i="1" s="1"/>
  <c r="B162" i="1" a="1"/>
  <c r="B162" i="1" s="1"/>
  <c r="B163" i="1" a="1"/>
  <c r="B163" i="1"/>
  <c r="B164" i="1" a="1"/>
  <c r="B164" i="1" s="1"/>
  <c r="B165" i="1" a="1"/>
  <c r="B165" i="1" s="1"/>
  <c r="B166" i="1" a="1"/>
  <c r="B166" i="1" s="1"/>
  <c r="B167" i="1" a="1"/>
  <c r="B167" i="1"/>
  <c r="B168" i="1" a="1"/>
  <c r="B168" i="1" s="1"/>
  <c r="B169" i="1" a="1"/>
  <c r="B169" i="1" s="1"/>
  <c r="B170" i="1" a="1"/>
  <c r="B170" i="1" s="1"/>
  <c r="B171" i="1" a="1"/>
  <c r="B171" i="1"/>
  <c r="B172" i="1" a="1"/>
  <c r="B172" i="1" s="1"/>
  <c r="B173" i="1" a="1"/>
  <c r="B173" i="1" s="1"/>
  <c r="B174" i="1" a="1"/>
  <c r="B174" i="1" s="1"/>
  <c r="B175" i="1" a="1"/>
  <c r="B175" i="1" s="1"/>
  <c r="B176" i="1" a="1"/>
  <c r="B176" i="1" s="1"/>
  <c r="B177" i="1" a="1"/>
  <c r="B177" i="1" s="1"/>
  <c r="B178" i="1" a="1"/>
  <c r="B178" i="1" s="1"/>
  <c r="B179" i="1" a="1"/>
  <c r="B179" i="1" s="1"/>
  <c r="B180" i="1" a="1"/>
  <c r="B180" i="1" s="1"/>
  <c r="B181" i="1" a="1"/>
  <c r="B181" i="1" s="1"/>
  <c r="B182" i="1" a="1"/>
  <c r="B182" i="1" s="1"/>
  <c r="B183" i="1" a="1"/>
  <c r="B183" i="1" s="1"/>
  <c r="B184" i="1" a="1"/>
  <c r="B184" i="1" s="1"/>
  <c r="B185" i="1" a="1"/>
  <c r="B185" i="1" s="1"/>
  <c r="B186" i="1" a="1"/>
  <c r="B186" i="1" s="1"/>
  <c r="B187" i="1" a="1"/>
  <c r="B187" i="1" s="1"/>
  <c r="B188" i="1" a="1"/>
  <c r="B188" i="1" s="1"/>
  <c r="B189" i="1" a="1"/>
  <c r="B189" i="1" s="1"/>
  <c r="B190" i="1" a="1"/>
  <c r="B190" i="1" s="1"/>
  <c r="B191" i="1" a="1"/>
  <c r="B191" i="1" s="1"/>
  <c r="B192" i="1" a="1"/>
  <c r="B192" i="1" s="1"/>
  <c r="B193" i="1" a="1"/>
  <c r="B193" i="1" s="1"/>
  <c r="B194" i="1" a="1"/>
  <c r="B194" i="1" s="1"/>
  <c r="B195" i="1" a="1"/>
  <c r="B195" i="1"/>
  <c r="B196" i="1" a="1"/>
  <c r="B196" i="1" s="1"/>
  <c r="B197" i="1" a="1"/>
  <c r="B197" i="1" s="1"/>
  <c r="B198" i="1" a="1"/>
  <c r="B198" i="1" s="1"/>
  <c r="B199" i="1" a="1"/>
  <c r="B199" i="1"/>
  <c r="B200" i="1" a="1"/>
  <c r="B200" i="1" s="1"/>
  <c r="B201" i="1" a="1"/>
  <c r="B201" i="1" s="1"/>
  <c r="B202" i="1" a="1"/>
  <c r="B202" i="1" s="1"/>
  <c r="B203" i="1" a="1"/>
  <c r="B203" i="1"/>
  <c r="B204" i="1" a="1"/>
  <c r="B204" i="1" s="1"/>
  <c r="B205" i="1" a="1"/>
  <c r="B205" i="1" s="1"/>
  <c r="B206" i="1" a="1"/>
  <c r="B206" i="1" s="1"/>
  <c r="B207" i="1" a="1"/>
  <c r="B207" i="1" s="1"/>
  <c r="B208" i="1" a="1"/>
  <c r="B208" i="1" s="1"/>
  <c r="B209" i="1" a="1"/>
  <c r="B209" i="1" s="1"/>
  <c r="B210" i="1" a="1"/>
  <c r="B210" i="1" s="1"/>
  <c r="B211" i="1" a="1"/>
  <c r="B211" i="1" s="1"/>
  <c r="B212" i="1" a="1"/>
  <c r="B212" i="1" s="1"/>
  <c r="B213" i="1" a="1"/>
  <c r="B213" i="1" s="1"/>
  <c r="B214" i="1" a="1"/>
  <c r="B214" i="1" s="1"/>
  <c r="B215" i="1" a="1"/>
  <c r="B215" i="1" s="1"/>
  <c r="B216" i="1" a="1"/>
  <c r="B216" i="1" s="1"/>
  <c r="B217" i="1" a="1"/>
  <c r="B217" i="1" s="1"/>
  <c r="B218" i="1" a="1"/>
  <c r="B218" i="1" s="1"/>
  <c r="B219" i="1" a="1"/>
  <c r="B219" i="1" s="1"/>
  <c r="B220" i="1" a="1"/>
  <c r="B220" i="1" s="1"/>
  <c r="B221" i="1" a="1"/>
  <c r="B221" i="1" s="1"/>
  <c r="B222" i="1" a="1"/>
  <c r="B222" i="1" s="1"/>
  <c r="B223" i="1" a="1"/>
  <c r="B223" i="1" s="1"/>
  <c r="B224" i="1" a="1"/>
  <c r="B224" i="1" s="1"/>
  <c r="B225" i="1" a="1"/>
  <c r="B225" i="1" s="1"/>
  <c r="B226" i="1" a="1"/>
  <c r="B226" i="1" s="1"/>
  <c r="B227" i="1" a="1"/>
  <c r="B227" i="1"/>
  <c r="B228" i="1" a="1"/>
  <c r="B228" i="1" s="1"/>
  <c r="B229" i="1" a="1"/>
  <c r="B229" i="1" s="1"/>
  <c r="B230" i="1" a="1"/>
  <c r="B230" i="1" s="1"/>
  <c r="B231" i="1" a="1"/>
  <c r="B231" i="1"/>
  <c r="B232" i="1" a="1"/>
  <c r="B232" i="1" s="1"/>
  <c r="B233" i="1" a="1"/>
  <c r="B233" i="1" s="1"/>
  <c r="B234" i="1" a="1"/>
  <c r="B234" i="1" s="1"/>
  <c r="B235" i="1" a="1"/>
  <c r="B235" i="1"/>
  <c r="B236" i="1" a="1"/>
  <c r="B236" i="1" s="1"/>
  <c r="B237" i="1" a="1"/>
  <c r="B237" i="1" s="1"/>
  <c r="B238" i="1" a="1"/>
  <c r="B238" i="1" s="1"/>
  <c r="B239" i="1" a="1"/>
  <c r="B239" i="1" s="1"/>
  <c r="B240" i="1" a="1"/>
  <c r="B240" i="1" s="1"/>
  <c r="B241" i="1" a="1"/>
  <c r="B241" i="1" s="1"/>
  <c r="B242" i="1" a="1"/>
  <c r="B242" i="1" s="1"/>
  <c r="B243" i="1" a="1"/>
  <c r="B243" i="1" s="1"/>
  <c r="B244" i="1" a="1"/>
  <c r="B244" i="1" s="1"/>
  <c r="B245" i="1" a="1"/>
  <c r="B245" i="1" s="1"/>
  <c r="B246" i="1" a="1"/>
  <c r="B246" i="1" s="1"/>
  <c r="B247" i="1" a="1"/>
  <c r="B247" i="1" s="1"/>
  <c r="B248" i="1" a="1"/>
  <c r="B248" i="1" s="1"/>
  <c r="B249" i="1" a="1"/>
  <c r="B249" i="1" s="1"/>
  <c r="B250" i="1" a="1"/>
  <c r="B250" i="1" s="1"/>
  <c r="B251" i="1" a="1"/>
  <c r="B251" i="1" s="1"/>
  <c r="B252" i="1" a="1"/>
  <c r="B252" i="1" s="1"/>
  <c r="B253" i="1" a="1"/>
  <c r="B253" i="1" s="1"/>
  <c r="B254" i="1" a="1"/>
  <c r="B254" i="1" s="1"/>
  <c r="B255" i="1" a="1"/>
  <c r="B255" i="1" s="1"/>
  <c r="B256" i="1" a="1"/>
  <c r="B256" i="1" s="1"/>
  <c r="B257" i="1" a="1"/>
  <c r="B257" i="1" s="1"/>
  <c r="B258" i="1" a="1"/>
  <c r="B258" i="1" s="1"/>
  <c r="B259" i="1" a="1"/>
  <c r="B259" i="1"/>
  <c r="B260" i="1" a="1"/>
  <c r="B260" i="1" s="1"/>
  <c r="B261" i="1" a="1"/>
  <c r="B261" i="1" s="1"/>
  <c r="B262" i="1" a="1"/>
  <c r="B262" i="1" s="1"/>
  <c r="B263" i="1" a="1"/>
  <c r="B263" i="1"/>
  <c r="B264" i="1" a="1"/>
  <c r="B264" i="1" s="1"/>
  <c r="B265" i="1" a="1"/>
  <c r="B265" i="1" s="1"/>
  <c r="B266" i="1" a="1"/>
  <c r="B266" i="1" s="1"/>
  <c r="B267" i="1" a="1"/>
  <c r="B267" i="1"/>
  <c r="B268" i="1" a="1"/>
  <c r="B268" i="1" s="1"/>
  <c r="B269" i="1" a="1"/>
  <c r="B269" i="1" s="1"/>
  <c r="B270" i="1" a="1"/>
  <c r="B270" i="1" s="1"/>
  <c r="B271" i="1" a="1"/>
  <c r="B271" i="1" s="1"/>
  <c r="B272" i="1" a="1"/>
  <c r="B272" i="1" s="1"/>
  <c r="B273" i="1" a="1"/>
  <c r="B273" i="1" s="1"/>
  <c r="B274" i="1" a="1"/>
  <c r="B274" i="1" s="1"/>
  <c r="B275" i="1" a="1"/>
  <c r="B275" i="1" s="1"/>
  <c r="B276" i="1" a="1"/>
  <c r="B276" i="1" s="1"/>
  <c r="B277" i="1" a="1"/>
  <c r="B277" i="1" s="1"/>
  <c r="B278" i="1" a="1"/>
  <c r="B278" i="1" s="1"/>
  <c r="B279" i="1" a="1"/>
  <c r="B279" i="1" s="1"/>
  <c r="B280" i="1" a="1"/>
  <c r="B280" i="1" s="1"/>
  <c r="B281" i="1" a="1"/>
  <c r="B281" i="1" s="1"/>
  <c r="B282" i="1" a="1"/>
  <c r="B282" i="1" s="1"/>
  <c r="B283" i="1" a="1"/>
  <c r="B283" i="1" s="1"/>
  <c r="B284" i="1" a="1"/>
  <c r="B284" i="1" s="1"/>
  <c r="B285" i="1" a="1"/>
  <c r="B285" i="1" s="1"/>
  <c r="B286" i="1" a="1"/>
  <c r="B286" i="1" s="1"/>
  <c r="B287" i="1" a="1"/>
  <c r="B287" i="1" s="1"/>
  <c r="B288" i="1" a="1"/>
  <c r="B288" i="1" s="1"/>
  <c r="B289" i="1" a="1"/>
  <c r="B289" i="1" s="1"/>
  <c r="B290" i="1" a="1"/>
  <c r="B290" i="1" s="1"/>
  <c r="B291" i="1" a="1"/>
  <c r="B291" i="1"/>
  <c r="B292" i="1" a="1"/>
  <c r="B292" i="1" s="1"/>
  <c r="B293" i="1" a="1"/>
  <c r="B293" i="1" s="1"/>
  <c r="B294" i="1" a="1"/>
  <c r="B294" i="1" s="1"/>
  <c r="B295" i="1" a="1"/>
  <c r="B295" i="1"/>
  <c r="B296" i="1" a="1"/>
  <c r="B296" i="1" s="1"/>
  <c r="B297" i="1" a="1"/>
  <c r="B297" i="1" s="1"/>
  <c r="B298" i="1" a="1"/>
  <c r="B298" i="1" s="1"/>
  <c r="B299" i="1" a="1"/>
  <c r="B299" i="1"/>
  <c r="B300" i="1" a="1"/>
  <c r="B300" i="1" s="1"/>
  <c r="B301" i="1" a="1"/>
  <c r="B301" i="1" s="1"/>
  <c r="B302" i="1" a="1"/>
  <c r="B302" i="1" s="1"/>
  <c r="B303" i="1" a="1"/>
  <c r="B303" i="1" s="1"/>
  <c r="B304" i="1" a="1"/>
  <c r="B304" i="1" s="1"/>
  <c r="B305" i="1" a="1"/>
  <c r="B305" i="1" s="1"/>
  <c r="B306" i="1" a="1"/>
  <c r="B306" i="1" s="1"/>
  <c r="B307" i="1" a="1"/>
  <c r="B307" i="1" s="1"/>
  <c r="B308" i="1" a="1"/>
  <c r="B308" i="1" s="1"/>
  <c r="B309" i="1" a="1"/>
  <c r="B309" i="1" s="1"/>
  <c r="B310" i="1" a="1"/>
  <c r="B310" i="1" s="1"/>
  <c r="B311" i="1" a="1"/>
  <c r="B311" i="1" s="1"/>
  <c r="B312" i="1" a="1"/>
  <c r="B312" i="1" s="1"/>
  <c r="B313" i="1" a="1"/>
  <c r="B313" i="1" s="1"/>
  <c r="B314" i="1" a="1"/>
  <c r="B314" i="1" s="1"/>
  <c r="B315" i="1" a="1"/>
  <c r="B315" i="1"/>
  <c r="B316" i="1" a="1"/>
  <c r="B316" i="1" s="1"/>
  <c r="B317" i="1" a="1"/>
  <c r="B317" i="1" s="1"/>
  <c r="B318" i="1" a="1"/>
  <c r="B318" i="1" s="1"/>
  <c r="B319" i="1" a="1"/>
  <c r="B319" i="1" s="1"/>
  <c r="B320" i="1" a="1"/>
  <c r="B320" i="1" s="1"/>
  <c r="B321" i="1" a="1"/>
  <c r="B321" i="1" s="1"/>
  <c r="B322" i="1" a="1"/>
  <c r="B322" i="1" s="1"/>
  <c r="B323" i="1" a="1"/>
  <c r="B323" i="1" s="1"/>
  <c r="B324" i="1" a="1"/>
  <c r="B324" i="1" s="1"/>
  <c r="B325" i="1" a="1"/>
  <c r="B325" i="1" s="1"/>
  <c r="B326" i="1" a="1"/>
  <c r="B326" i="1" s="1"/>
  <c r="B327" i="1" a="1"/>
  <c r="B327" i="1"/>
  <c r="B328" i="1" a="1"/>
  <c r="B328" i="1" s="1"/>
  <c r="B329" i="1" a="1"/>
  <c r="B329" i="1" s="1"/>
  <c r="B330" i="1" a="1"/>
  <c r="B330" i="1" s="1"/>
  <c r="B331" i="1" a="1"/>
  <c r="B331" i="1"/>
  <c r="B332" i="1" a="1"/>
  <c r="B332" i="1" s="1"/>
  <c r="B333" i="1" a="1"/>
  <c r="B333" i="1" s="1"/>
  <c r="B334" i="1" a="1"/>
  <c r="B334" i="1" s="1"/>
  <c r="B335" i="1" a="1"/>
  <c r="B335" i="1" s="1"/>
  <c r="B336" i="1" a="1"/>
  <c r="B336" i="1" s="1"/>
  <c r="B337" i="1" a="1"/>
  <c r="B337" i="1" s="1"/>
  <c r="B338" i="1" a="1"/>
  <c r="B338" i="1" s="1"/>
  <c r="B339" i="1" a="1"/>
  <c r="B339" i="1" s="1"/>
  <c r="B340" i="1" a="1"/>
  <c r="B340" i="1" s="1"/>
  <c r="B341" i="1" a="1"/>
  <c r="B341" i="1" s="1"/>
  <c r="B342" i="1" a="1"/>
  <c r="B342" i="1" s="1"/>
  <c r="B343" i="1" a="1"/>
  <c r="B343" i="1" s="1"/>
  <c r="B344" i="1" a="1"/>
  <c r="B344" i="1" s="1"/>
  <c r="B345" i="1" a="1"/>
  <c r="B345" i="1"/>
  <c r="B346" i="1" a="1"/>
  <c r="B346" i="1"/>
  <c r="B347" i="1" a="1"/>
  <c r="B347" i="1" s="1"/>
  <c r="B348" i="1" a="1"/>
  <c r="B348" i="1" s="1"/>
  <c r="B349" i="1" a="1"/>
  <c r="B349" i="1"/>
  <c r="B350" i="1" a="1"/>
  <c r="B350" i="1" s="1"/>
  <c r="B351" i="1" a="1"/>
  <c r="B351" i="1" s="1"/>
  <c r="B352" i="1" a="1"/>
  <c r="B352" i="1" s="1"/>
  <c r="B353" i="1" a="1"/>
  <c r="B353" i="1" s="1"/>
  <c r="B354" i="1" a="1"/>
  <c r="B354" i="1"/>
  <c r="B355" i="1" a="1"/>
  <c r="B355" i="1" s="1"/>
  <c r="B356" i="1" a="1"/>
  <c r="B356" i="1"/>
  <c r="B357" i="1" a="1"/>
  <c r="B357" i="1" s="1"/>
  <c r="B358" i="1" a="1"/>
  <c r="B358" i="1"/>
  <c r="B359" i="1" a="1"/>
  <c r="B359" i="1" s="1"/>
  <c r="B360" i="1" a="1"/>
  <c r="B360" i="1"/>
  <c r="B361" i="1" a="1"/>
  <c r="B361" i="1" s="1"/>
  <c r="B362" i="1" a="1"/>
  <c r="B362" i="1" s="1"/>
  <c r="B363" i="1" a="1"/>
  <c r="B363" i="1" s="1"/>
  <c r="B364" i="1" a="1"/>
  <c r="B364" i="1" s="1"/>
  <c r="B365" i="1" a="1"/>
  <c r="B365" i="1"/>
  <c r="B366" i="1" a="1"/>
  <c r="B366" i="1" s="1"/>
  <c r="B367" i="1" a="1"/>
  <c r="B367" i="1" s="1"/>
  <c r="B368" i="1" a="1"/>
  <c r="B368" i="1"/>
  <c r="B369" i="1" a="1"/>
  <c r="B369" i="1"/>
  <c r="B370" i="1" a="1"/>
  <c r="B370" i="1" s="1"/>
  <c r="B371" i="1" a="1"/>
  <c r="B371" i="1" s="1"/>
  <c r="B372" i="1" a="1"/>
  <c r="B372" i="1"/>
  <c r="B373" i="1" a="1"/>
  <c r="B373" i="1" s="1"/>
  <c r="B374" i="1" a="1"/>
  <c r="B374" i="1"/>
  <c r="B375" i="1" a="1"/>
  <c r="B375" i="1" s="1"/>
  <c r="B376" i="1" a="1"/>
  <c r="B376" i="1" s="1"/>
  <c r="B377" i="1" a="1"/>
  <c r="B377" i="1" s="1"/>
  <c r="B378" i="1" a="1"/>
  <c r="B378" i="1"/>
  <c r="B379" i="1" a="1"/>
  <c r="B379" i="1" s="1"/>
  <c r="B380" i="1" a="1"/>
  <c r="B380" i="1"/>
  <c r="B381" i="1" a="1"/>
  <c r="B381" i="1" s="1"/>
  <c r="B382" i="1" a="1"/>
  <c r="B382" i="1" s="1"/>
  <c r="B383" i="1" a="1"/>
  <c r="B383" i="1" s="1"/>
  <c r="B384" i="1" a="1"/>
  <c r="B384" i="1" s="1"/>
  <c r="B385" i="1" a="1"/>
  <c r="B385" i="1" s="1"/>
  <c r="B386" i="1" a="1"/>
  <c r="B386" i="1" s="1"/>
  <c r="B387" i="1" a="1"/>
  <c r="B387" i="1" s="1"/>
  <c r="B388" i="1" a="1"/>
  <c r="B388" i="1"/>
  <c r="B389" i="1" a="1"/>
  <c r="B389" i="1"/>
  <c r="B390" i="1" a="1"/>
  <c r="B390" i="1" s="1"/>
  <c r="B391" i="1" a="1"/>
  <c r="B391" i="1" s="1"/>
  <c r="B392" i="1" a="1"/>
  <c r="B392" i="1"/>
  <c r="B393" i="1" a="1"/>
  <c r="B393" i="1" s="1"/>
  <c r="B394" i="1" a="1"/>
  <c r="B394" i="1" s="1"/>
  <c r="B395" i="1" a="1"/>
  <c r="B395" i="1" s="1"/>
  <c r="B396" i="1" a="1"/>
  <c r="B396" i="1" s="1"/>
  <c r="B397" i="1" a="1"/>
  <c r="B397" i="1"/>
  <c r="B398" i="1" a="1"/>
  <c r="B398" i="1"/>
  <c r="B399" i="1" a="1"/>
  <c r="B399" i="1" s="1"/>
  <c r="B400" i="1" a="1"/>
  <c r="B400" i="1" s="1"/>
  <c r="B401" i="1" a="1"/>
  <c r="B401" i="1"/>
  <c r="B402" i="1" a="1"/>
  <c r="B402" i="1" s="1"/>
  <c r="B403" i="1" a="1"/>
  <c r="B403" i="1" s="1"/>
  <c r="B404" i="1" a="1"/>
  <c r="B404" i="1" s="1"/>
  <c r="B405" i="1" a="1"/>
  <c r="B405" i="1" s="1"/>
  <c r="B406" i="1" a="1"/>
  <c r="B406" i="1"/>
  <c r="B407" i="1" a="1"/>
  <c r="B407" i="1" s="1"/>
  <c r="B408" i="1" a="1"/>
  <c r="B408" i="1" s="1"/>
  <c r="B409" i="1" a="1"/>
  <c r="B409" i="1" s="1"/>
  <c r="B410" i="1" a="1"/>
  <c r="B410" i="1"/>
  <c r="B411" i="1" a="1"/>
  <c r="B411" i="1" s="1"/>
  <c r="B412" i="1" a="1"/>
  <c r="B412" i="1"/>
  <c r="B413" i="1" a="1"/>
  <c r="B413" i="1" s="1"/>
  <c r="B414" i="1" a="1"/>
  <c r="B414" i="1" s="1"/>
  <c r="B415" i="1" a="1"/>
  <c r="B415" i="1" s="1"/>
  <c r="B416" i="1" a="1"/>
  <c r="B416" i="1" s="1"/>
  <c r="B417" i="1" a="1"/>
  <c r="B417" i="1" s="1"/>
  <c r="B418" i="1" a="1"/>
  <c r="B418" i="1" s="1"/>
  <c r="B419" i="1" a="1"/>
  <c r="B419" i="1" s="1"/>
  <c r="B420" i="1" a="1"/>
  <c r="B420" i="1"/>
  <c r="B421" i="1" a="1"/>
  <c r="B421" i="1"/>
  <c r="B422" i="1" a="1"/>
  <c r="B422" i="1" s="1"/>
  <c r="B423" i="1" a="1"/>
  <c r="B423" i="1" s="1"/>
  <c r="B424" i="1" a="1"/>
  <c r="B424" i="1"/>
  <c r="B425" i="1" a="1"/>
  <c r="B425" i="1" s="1"/>
  <c r="B426" i="1" a="1"/>
  <c r="B426" i="1" s="1"/>
  <c r="B427" i="1" a="1"/>
  <c r="B427" i="1" s="1"/>
  <c r="B428" i="1" a="1"/>
  <c r="B428" i="1" s="1"/>
  <c r="B429" i="1" a="1"/>
  <c r="B429" i="1"/>
  <c r="B430" i="1" a="1"/>
  <c r="B430" i="1"/>
  <c r="B431" i="1" a="1"/>
  <c r="B431" i="1" s="1"/>
  <c r="B432" i="1" a="1"/>
  <c r="B432" i="1" s="1"/>
  <c r="B433" i="1" a="1"/>
  <c r="B433" i="1"/>
  <c r="B434" i="1" a="1"/>
  <c r="B434" i="1" s="1"/>
  <c r="B435" i="1" a="1"/>
  <c r="B435" i="1" s="1"/>
  <c r="B436" i="1" a="1"/>
  <c r="B436" i="1" s="1"/>
  <c r="B437" i="1" a="1"/>
  <c r="B437" i="1" s="1"/>
  <c r="B438" i="1" a="1"/>
  <c r="B438" i="1"/>
  <c r="B439" i="1" a="1"/>
  <c r="B439" i="1" s="1"/>
  <c r="B440" i="1" a="1"/>
  <c r="B440" i="1" s="1"/>
  <c r="B441" i="1" a="1"/>
  <c r="B441" i="1" s="1"/>
  <c r="B442" i="1" a="1"/>
  <c r="B442" i="1"/>
  <c r="B443" i="1" a="1"/>
  <c r="B443" i="1" s="1"/>
  <c r="B444" i="1" a="1"/>
  <c r="B444" i="1"/>
  <c r="B445" i="1" a="1"/>
  <c r="B445" i="1" s="1"/>
  <c r="B446" i="1" a="1"/>
  <c r="B446" i="1" s="1"/>
  <c r="B447" i="1" a="1"/>
  <c r="B447" i="1" s="1"/>
  <c r="B448" i="1" a="1"/>
  <c r="B448" i="1" s="1"/>
  <c r="B449" i="1" a="1"/>
  <c r="B449" i="1" s="1"/>
  <c r="B450" i="1" a="1"/>
  <c r="B450" i="1" s="1"/>
  <c r="B451" i="1" a="1"/>
  <c r="B451" i="1" s="1"/>
  <c r="B452" i="1" a="1"/>
  <c r="B452" i="1"/>
  <c r="B453" i="1" a="1"/>
  <c r="B453" i="1"/>
  <c r="B454" i="1" a="1"/>
  <c r="B454" i="1" s="1"/>
  <c r="B455" i="1" a="1"/>
  <c r="B455" i="1" s="1"/>
  <c r="B456" i="1" a="1"/>
  <c r="B456" i="1"/>
  <c r="B457" i="1" a="1"/>
  <c r="B457" i="1" s="1"/>
  <c r="B458" i="1" a="1"/>
  <c r="B458" i="1" s="1"/>
  <c r="B459" i="1" a="1"/>
  <c r="B459" i="1" s="1"/>
  <c r="B460" i="1" a="1"/>
  <c r="B460" i="1" s="1"/>
  <c r="B461" i="1" a="1"/>
  <c r="B461" i="1"/>
  <c r="B462" i="1" a="1"/>
  <c r="B462" i="1"/>
  <c r="B463" i="1" a="1"/>
  <c r="B463" i="1" s="1"/>
  <c r="B464" i="1" a="1"/>
  <c r="B464" i="1"/>
  <c r="B465" i="1" a="1"/>
  <c r="B465" i="1"/>
  <c r="B466" i="1" a="1"/>
  <c r="B466" i="1" s="1"/>
  <c r="B467" i="1" a="1"/>
  <c r="B467" i="1" s="1"/>
  <c r="B468" i="1" a="1"/>
  <c r="B468" i="1" s="1"/>
  <c r="B469" i="1" a="1"/>
  <c r="B469" i="1" s="1"/>
  <c r="B470" i="1" a="1"/>
  <c r="B470" i="1"/>
  <c r="B471" i="1" a="1"/>
  <c r="B471" i="1" s="1"/>
  <c r="B472" i="1" a="1"/>
  <c r="B472" i="1" s="1"/>
  <c r="B473" i="1" a="1"/>
  <c r="B473" i="1"/>
  <c r="B474" i="1" a="1"/>
  <c r="B474" i="1"/>
  <c r="B475" i="1" a="1"/>
  <c r="B475" i="1" s="1"/>
  <c r="B476" i="1" a="1"/>
  <c r="B476" i="1"/>
  <c r="B477" i="1" a="1"/>
  <c r="B477" i="1" s="1"/>
  <c r="B478" i="1" a="1"/>
  <c r="B478" i="1" s="1"/>
  <c r="B479" i="1" a="1"/>
  <c r="B479" i="1" s="1"/>
  <c r="B480" i="1" a="1"/>
  <c r="B480" i="1" s="1"/>
  <c r="B481" i="1" a="1"/>
  <c r="B481" i="1" s="1"/>
  <c r="B482" i="1" a="1"/>
  <c r="B482" i="1" s="1"/>
  <c r="B483" i="1" a="1"/>
  <c r="B483" i="1" s="1"/>
  <c r="B484" i="1" a="1"/>
  <c r="B484" i="1"/>
  <c r="B485" i="1" a="1"/>
  <c r="B485" i="1"/>
  <c r="B486" i="1" a="1"/>
  <c r="B486" i="1" s="1"/>
  <c r="B487" i="1" a="1"/>
  <c r="B487" i="1" s="1"/>
  <c r="B488" i="1" a="1"/>
  <c r="B488" i="1"/>
  <c r="B489" i="1" a="1"/>
  <c r="B489" i="1" s="1"/>
  <c r="B490" i="1" a="1"/>
  <c r="B490" i="1" s="1"/>
  <c r="B491" i="1" a="1"/>
  <c r="B491" i="1" s="1"/>
  <c r="B492" i="1" a="1"/>
  <c r="B492" i="1" s="1"/>
  <c r="B493" i="1" a="1"/>
  <c r="B493" i="1"/>
  <c r="B494" i="1" a="1"/>
  <c r="B494" i="1"/>
  <c r="B495" i="1" a="1"/>
  <c r="B495" i="1" s="1"/>
  <c r="B496" i="1" a="1"/>
  <c r="B496" i="1" s="1"/>
  <c r="B497" i="1" a="1"/>
  <c r="B497" i="1"/>
  <c r="B498" i="1" a="1"/>
  <c r="B498" i="1" s="1"/>
  <c r="B499" i="1" a="1"/>
  <c r="B499" i="1" s="1"/>
  <c r="B500" i="1" a="1"/>
  <c r="B500" i="1" s="1"/>
  <c r="B501" i="1" a="1"/>
  <c r="B501" i="1" s="1"/>
  <c r="B502" i="1" a="1"/>
  <c r="B502" i="1"/>
  <c r="B503" i="1" a="1"/>
  <c r="B503" i="1" s="1"/>
  <c r="B504" i="1" a="1"/>
  <c r="B504" i="1" s="1"/>
  <c r="B505" i="1" a="1"/>
  <c r="B505" i="1" s="1"/>
  <c r="B506" i="1" a="1"/>
  <c r="B506" i="1"/>
  <c r="B507" i="1" a="1"/>
  <c r="B507" i="1" s="1"/>
  <c r="B508" i="1" a="1"/>
  <c r="B508" i="1"/>
  <c r="B509" i="1" a="1"/>
  <c r="B509" i="1" s="1"/>
  <c r="B510" i="1" a="1"/>
  <c r="B510" i="1" s="1"/>
  <c r="B511" i="1" a="1"/>
  <c r="B511" i="1" s="1"/>
  <c r="B512" i="1" a="1"/>
  <c r="B512" i="1" s="1"/>
  <c r="B513" i="1" a="1"/>
  <c r="B513" i="1" s="1"/>
  <c r="B514" i="1" a="1"/>
  <c r="B514" i="1" s="1"/>
  <c r="B515" i="1" a="1"/>
  <c r="B515" i="1" s="1"/>
  <c r="B516" i="1" a="1"/>
  <c r="B516" i="1"/>
  <c r="B517" i="1" a="1"/>
  <c r="B517" i="1"/>
  <c r="B518" i="1" a="1"/>
  <c r="B518" i="1" s="1"/>
  <c r="B519" i="1" a="1"/>
  <c r="B519" i="1" s="1"/>
  <c r="B520" i="1" a="1"/>
  <c r="B520" i="1"/>
  <c r="B521" i="1" a="1"/>
  <c r="B521" i="1" s="1"/>
  <c r="B522" i="1" a="1"/>
  <c r="B522" i="1" s="1"/>
  <c r="B523" i="1" a="1"/>
  <c r="B523" i="1" s="1"/>
  <c r="B524" i="1" a="1"/>
  <c r="B524" i="1" s="1"/>
  <c r="B525" i="1" a="1"/>
  <c r="B525" i="1"/>
  <c r="B526" i="1" a="1"/>
  <c r="B526" i="1"/>
  <c r="B527" i="1" a="1"/>
  <c r="B527" i="1" s="1"/>
  <c r="B528" i="1" a="1"/>
  <c r="B528" i="1"/>
  <c r="B529" i="1" a="1"/>
  <c r="B529" i="1"/>
  <c r="B530" i="1" a="1"/>
  <c r="B530" i="1" s="1"/>
  <c r="B531" i="1" a="1"/>
  <c r="B531" i="1" s="1"/>
  <c r="B532" i="1" a="1"/>
  <c r="B532" i="1" s="1"/>
  <c r="B533" i="1" a="1"/>
  <c r="B533" i="1" s="1"/>
  <c r="B534" i="1" a="1"/>
  <c r="B534" i="1"/>
  <c r="B535" i="1" a="1"/>
  <c r="B535" i="1" s="1"/>
  <c r="B536" i="1" a="1"/>
  <c r="B536" i="1" s="1"/>
  <c r="B537" i="1" a="1"/>
  <c r="B537" i="1"/>
  <c r="B538" i="1" a="1"/>
  <c r="B538" i="1"/>
  <c r="B539" i="1" a="1"/>
  <c r="B539" i="1" s="1"/>
  <c r="B540" i="1" a="1"/>
  <c r="B540" i="1"/>
  <c r="B541" i="1" a="1"/>
  <c r="B541" i="1" s="1"/>
  <c r="B542" i="1" a="1"/>
  <c r="B542" i="1" s="1"/>
  <c r="B543" i="1" a="1"/>
  <c r="B543" i="1" s="1"/>
  <c r="B544" i="1" a="1"/>
  <c r="B544" i="1" s="1"/>
  <c r="B545" i="1" a="1"/>
  <c r="B545" i="1" s="1"/>
  <c r="B546" i="1" a="1"/>
  <c r="B546" i="1"/>
  <c r="B547" i="1" a="1"/>
  <c r="B547" i="1" s="1"/>
  <c r="B548" i="1" a="1"/>
  <c r="B548" i="1"/>
  <c r="B549" i="1" a="1"/>
  <c r="B549" i="1"/>
  <c r="B550" i="1" a="1"/>
  <c r="B550" i="1" s="1"/>
  <c r="B551" i="1" a="1"/>
  <c r="B551" i="1" s="1"/>
  <c r="B552" i="1" a="1"/>
  <c r="B552" i="1"/>
  <c r="B553" i="1" a="1"/>
  <c r="B553" i="1" s="1"/>
  <c r="B554" i="1" a="1"/>
  <c r="B554" i="1" s="1"/>
  <c r="B555" i="1" a="1"/>
  <c r="B555" i="1" s="1"/>
  <c r="B556" i="1" a="1"/>
  <c r="B556" i="1" s="1"/>
  <c r="B557" i="1" a="1"/>
  <c r="B557" i="1"/>
  <c r="B558" i="1" a="1"/>
  <c r="B558" i="1"/>
  <c r="B559" i="1" a="1"/>
  <c r="B559" i="1" s="1"/>
  <c r="B560" i="1" a="1"/>
  <c r="B560" i="1"/>
  <c r="B561" i="1" a="1"/>
  <c r="B561" i="1"/>
  <c r="B562" i="1" a="1"/>
  <c r="B562" i="1" s="1"/>
  <c r="B563" i="1" a="1"/>
  <c r="B563" i="1" s="1"/>
  <c r="B564" i="1" a="1"/>
  <c r="B564" i="1" s="1"/>
  <c r="B565" i="1" a="1"/>
  <c r="B565" i="1" s="1"/>
  <c r="B566" i="1" a="1"/>
  <c r="B566" i="1"/>
  <c r="B567" i="1" a="1"/>
  <c r="B567" i="1" s="1"/>
  <c r="B568" i="1" a="1"/>
  <c r="B568" i="1" s="1"/>
  <c r="B569" i="1" a="1"/>
  <c r="B569" i="1"/>
  <c r="B570" i="1" a="1"/>
  <c r="B570" i="1"/>
  <c r="B571" i="1" a="1"/>
  <c r="B571" i="1" s="1"/>
  <c r="B572" i="1" a="1"/>
  <c r="B572" i="1"/>
  <c r="B573" i="1" a="1"/>
  <c r="B573" i="1" s="1"/>
  <c r="B574" i="1" a="1"/>
  <c r="B574" i="1" s="1"/>
  <c r="B575" i="1" a="1"/>
  <c r="B575" i="1" s="1"/>
  <c r="B576" i="1" a="1"/>
  <c r="B576" i="1" s="1"/>
  <c r="B577" i="1" a="1"/>
  <c r="B577" i="1" s="1"/>
  <c r="B578" i="1" a="1"/>
  <c r="B578" i="1"/>
  <c r="B579" i="1" a="1"/>
  <c r="B579" i="1" s="1"/>
  <c r="B580" i="1" a="1"/>
  <c r="B580" i="1"/>
  <c r="B581" i="1" a="1"/>
  <c r="B581" i="1"/>
  <c r="B582" i="1" a="1"/>
  <c r="B582" i="1" s="1"/>
  <c r="B583" i="1" a="1"/>
  <c r="B583" i="1" s="1"/>
  <c r="B584" i="1" a="1"/>
  <c r="B584" i="1"/>
  <c r="B585" i="1" a="1"/>
  <c r="B585" i="1" s="1"/>
  <c r="B586" i="1" a="1"/>
  <c r="B586" i="1" s="1"/>
  <c r="B587" i="1" a="1"/>
  <c r="B587" i="1" s="1"/>
  <c r="B588" i="1" a="1"/>
  <c r="B588" i="1" s="1"/>
  <c r="B589" i="1" a="1"/>
  <c r="B589" i="1"/>
  <c r="B590" i="1" a="1"/>
  <c r="B590" i="1"/>
  <c r="B591" i="1" a="1"/>
  <c r="B591" i="1" s="1"/>
  <c r="B592" i="1" a="1"/>
  <c r="B592" i="1"/>
  <c r="B593" i="1" a="1"/>
  <c r="B593" i="1"/>
  <c r="B594" i="1" a="1"/>
  <c r="B594" i="1" s="1"/>
  <c r="B595" i="1" a="1"/>
  <c r="B595" i="1" s="1"/>
  <c r="B596" i="1" a="1"/>
  <c r="B596" i="1" s="1"/>
  <c r="B597" i="1" a="1"/>
  <c r="B597" i="1" s="1"/>
  <c r="B598" i="1" a="1"/>
  <c r="B598" i="1"/>
  <c r="B599" i="1" a="1"/>
  <c r="B599" i="1" s="1"/>
  <c r="B600" i="1" a="1"/>
  <c r="B600" i="1" s="1"/>
  <c r="B601" i="1" a="1"/>
  <c r="B601" i="1"/>
  <c r="B602" i="1" a="1"/>
  <c r="B602" i="1"/>
  <c r="B603" i="1" a="1"/>
  <c r="B603" i="1" s="1"/>
  <c r="B604" i="1" a="1"/>
  <c r="B604" i="1"/>
  <c r="B605" i="1" a="1"/>
  <c r="B605" i="1" s="1"/>
  <c r="B606" i="1" a="1"/>
  <c r="B606" i="1" s="1"/>
  <c r="B607" i="1" a="1"/>
  <c r="B607" i="1" s="1"/>
  <c r="B608" i="1" a="1"/>
  <c r="B608" i="1" s="1"/>
  <c r="B609" i="1" a="1"/>
  <c r="B609" i="1" s="1"/>
  <c r="B610" i="1" a="1"/>
  <c r="B610" i="1"/>
  <c r="B611" i="1" a="1"/>
  <c r="B611" i="1" s="1"/>
  <c r="B612" i="1" a="1"/>
  <c r="B612" i="1"/>
  <c r="B613" i="1" a="1"/>
  <c r="B613" i="1"/>
  <c r="B614" i="1" a="1"/>
  <c r="B614" i="1" s="1"/>
  <c r="B615" i="1" a="1"/>
  <c r="B615" i="1" s="1"/>
  <c r="B616" i="1" a="1"/>
  <c r="B616" i="1"/>
  <c r="B617" i="1" a="1"/>
  <c r="B617" i="1" s="1"/>
  <c r="B618" i="1" a="1"/>
  <c r="B618" i="1" s="1"/>
  <c r="B619" i="1" a="1"/>
  <c r="B619" i="1" s="1"/>
  <c r="B620" i="1" a="1"/>
  <c r="B620" i="1" s="1"/>
  <c r="B621" i="1" a="1"/>
  <c r="B621" i="1"/>
  <c r="B622" i="1" a="1"/>
  <c r="B622" i="1"/>
  <c r="B623" i="1" a="1"/>
  <c r="B623" i="1" s="1"/>
  <c r="B624" i="1" a="1"/>
  <c r="B624" i="1"/>
  <c r="B625" i="1" a="1"/>
  <c r="B625" i="1"/>
  <c r="B626" i="1" a="1"/>
  <c r="B626" i="1" s="1"/>
  <c r="B627" i="1" a="1"/>
  <c r="B627" i="1" s="1"/>
  <c r="B628" i="1" a="1"/>
  <c r="B628" i="1" s="1"/>
  <c r="B629" i="1" a="1"/>
  <c r="B629" i="1" s="1"/>
  <c r="B630" i="1" a="1"/>
  <c r="B630" i="1"/>
  <c r="B631" i="1" a="1"/>
  <c r="B631" i="1" s="1"/>
  <c r="B632" i="1" a="1"/>
  <c r="B632" i="1" s="1"/>
  <c r="B633" i="1" a="1"/>
  <c r="B633" i="1"/>
  <c r="B634" i="1" a="1"/>
  <c r="B634" i="1"/>
  <c r="B635" i="1" a="1"/>
  <c r="B635" i="1" s="1"/>
  <c r="B636" i="1" a="1"/>
  <c r="B636" i="1"/>
  <c r="B637" i="1" a="1"/>
  <c r="B637" i="1" s="1"/>
  <c r="B638" i="1" a="1"/>
  <c r="B638" i="1" s="1"/>
  <c r="B639" i="1" a="1"/>
  <c r="B639" i="1" s="1"/>
  <c r="B640" i="1" a="1"/>
  <c r="B640" i="1" s="1"/>
  <c r="B641" i="1" a="1"/>
  <c r="B641" i="1" s="1"/>
  <c r="B642" i="1" a="1"/>
  <c r="B642" i="1"/>
  <c r="B643" i="1" a="1"/>
  <c r="B643" i="1"/>
  <c r="B644" i="1" a="1"/>
  <c r="B644" i="1" s="1"/>
  <c r="B645" i="1" a="1"/>
  <c r="B645" i="1" s="1"/>
  <c r="B646" i="1" a="1"/>
  <c r="B646" i="1" s="1"/>
  <c r="B647" i="1" a="1"/>
  <c r="B647" i="1"/>
  <c r="B648" i="1" a="1"/>
  <c r="B648" i="1" s="1"/>
  <c r="B649" i="1" a="1"/>
  <c r="B649" i="1"/>
  <c r="B650" i="1" a="1"/>
  <c r="B650" i="1" s="1"/>
  <c r="B651" i="1" a="1"/>
  <c r="B651" i="1"/>
  <c r="B652" i="1" a="1"/>
  <c r="B652" i="1" s="1"/>
  <c r="B653" i="1" a="1"/>
  <c r="B653" i="1" s="1"/>
  <c r="B654" i="1" a="1"/>
  <c r="B654" i="1" s="1"/>
  <c r="B655" i="1" a="1"/>
  <c r="B655" i="1" s="1"/>
  <c r="B656" i="1" a="1"/>
  <c r="B656" i="1" s="1"/>
  <c r="B657" i="1" a="1"/>
  <c r="B657" i="1" s="1"/>
  <c r="B658" i="1" a="1"/>
  <c r="B658" i="1"/>
  <c r="B659" i="1" a="1"/>
  <c r="B659" i="1" s="1"/>
  <c r="B660" i="1" a="1"/>
  <c r="B660" i="1" s="1"/>
  <c r="B661" i="1" a="1"/>
  <c r="B661" i="1" s="1"/>
  <c r="B662" i="1" a="1"/>
  <c r="B662" i="1" s="1"/>
  <c r="B663" i="1" a="1"/>
  <c r="B663" i="1" s="1"/>
  <c r="B664" i="1" a="1"/>
  <c r="B664" i="1" s="1"/>
  <c r="B665" i="1" a="1"/>
  <c r="B665" i="1"/>
  <c r="B666" i="1" a="1"/>
  <c r="B666" i="1" s="1"/>
  <c r="B667" i="1" a="1"/>
  <c r="B667" i="1"/>
  <c r="B668" i="1" a="1"/>
  <c r="B668" i="1" s="1"/>
  <c r="B669" i="1" a="1"/>
  <c r="B669" i="1" s="1"/>
  <c r="B670" i="1" a="1"/>
  <c r="B670" i="1" s="1"/>
  <c r="B671" i="1" a="1"/>
  <c r="B671" i="1" s="1"/>
  <c r="B672" i="1" a="1"/>
  <c r="B672" i="1" s="1"/>
  <c r="B673" i="1" a="1"/>
  <c r="B673" i="1"/>
  <c r="B674" i="1" a="1"/>
  <c r="B674" i="1"/>
  <c r="B675" i="1" a="1"/>
  <c r="B675" i="1" s="1"/>
  <c r="B676" i="1" a="1"/>
  <c r="B676" i="1" s="1"/>
  <c r="B677" i="1" a="1"/>
  <c r="B677" i="1" s="1"/>
  <c r="B678" i="1" a="1"/>
  <c r="B678" i="1" s="1"/>
  <c r="B679" i="1" a="1"/>
  <c r="B679" i="1" s="1"/>
  <c r="B680" i="1" a="1"/>
  <c r="B680" i="1" s="1"/>
  <c r="B681" i="1" a="1"/>
  <c r="B681" i="1"/>
  <c r="B682" i="1" a="1"/>
  <c r="B682" i="1"/>
  <c r="B683" i="1" a="1"/>
  <c r="B683" i="1"/>
  <c r="B684" i="1" a="1"/>
  <c r="B684" i="1" s="1"/>
  <c r="B685" i="1" a="1"/>
  <c r="B685" i="1" s="1"/>
  <c r="B686" i="1" a="1"/>
  <c r="B686" i="1" s="1"/>
  <c r="B687" i="1" a="1"/>
  <c r="B687" i="1" s="1"/>
  <c r="B688" i="1" a="1"/>
  <c r="B688" i="1" s="1"/>
  <c r="B689" i="1" a="1"/>
  <c r="B689" i="1" s="1"/>
  <c r="B690" i="1" a="1"/>
  <c r="B690" i="1"/>
  <c r="B691" i="1" a="1"/>
  <c r="B691" i="1"/>
  <c r="B692" i="1" a="1"/>
  <c r="B692" i="1" s="1"/>
  <c r="B693" i="1" a="1"/>
  <c r="B693" i="1" s="1"/>
  <c r="B694" i="1" a="1"/>
  <c r="B694" i="1" s="1"/>
  <c r="B695" i="1" a="1"/>
  <c r="B695" i="1" s="1"/>
  <c r="B696" i="1" a="1"/>
  <c r="B696" i="1" s="1"/>
  <c r="B697" i="1" a="1"/>
  <c r="B697" i="1"/>
  <c r="B698" i="1" a="1"/>
  <c r="B698" i="1" s="1"/>
  <c r="B699" i="1" a="1"/>
  <c r="B699" i="1"/>
  <c r="B700" i="1" a="1"/>
  <c r="B700" i="1" s="1"/>
  <c r="B701" i="1" a="1"/>
  <c r="B701" i="1" s="1"/>
  <c r="B702" i="1" a="1"/>
  <c r="B702" i="1" s="1"/>
  <c r="B703" i="1" a="1"/>
  <c r="B703" i="1" s="1"/>
  <c r="B704" i="1" a="1"/>
  <c r="B704" i="1" s="1"/>
  <c r="B705" i="1" a="1"/>
  <c r="B705" i="1"/>
  <c r="B706" i="1" a="1"/>
  <c r="B706" i="1"/>
  <c r="B707" i="1" a="1"/>
  <c r="B707" i="1" s="1"/>
  <c r="B708" i="1" a="1"/>
  <c r="B708" i="1" s="1"/>
  <c r="B709" i="1" a="1"/>
  <c r="B709" i="1" s="1"/>
  <c r="B710" i="1" a="1"/>
  <c r="B710" i="1" s="1"/>
  <c r="B711" i="1" a="1"/>
  <c r="B711" i="1" s="1"/>
  <c r="B712" i="1" a="1"/>
  <c r="B712" i="1" s="1"/>
  <c r="B713" i="1" a="1"/>
  <c r="B713" i="1"/>
  <c r="B714" i="1" a="1"/>
  <c r="B714" i="1"/>
  <c r="B715" i="1" a="1"/>
  <c r="B715" i="1"/>
  <c r="B716" i="1" a="1"/>
  <c r="B716" i="1" s="1"/>
  <c r="B717" i="1" a="1"/>
  <c r="B717" i="1" s="1"/>
  <c r="B718" i="1" a="1"/>
  <c r="B718" i="1" s="1"/>
  <c r="B719" i="1" a="1"/>
  <c r="B719" i="1" s="1"/>
  <c r="B720" i="1" a="1"/>
  <c r="B720" i="1" s="1"/>
  <c r="B721" i="1" a="1"/>
  <c r="B721" i="1" s="1"/>
  <c r="B722" i="1" a="1"/>
  <c r="B722" i="1"/>
  <c r="B723" i="1" a="1"/>
  <c r="B723" i="1"/>
  <c r="B724" i="1" a="1"/>
  <c r="B724" i="1" s="1"/>
  <c r="B725" i="1" a="1"/>
  <c r="B725" i="1" s="1"/>
  <c r="B726" i="1" a="1"/>
  <c r="B726" i="1" s="1"/>
  <c r="B727" i="1" a="1"/>
  <c r="B727" i="1" s="1"/>
  <c r="B728" i="1" a="1"/>
  <c r="B728" i="1" s="1"/>
  <c r="B729" i="1" a="1"/>
  <c r="B729" i="1"/>
  <c r="B730" i="1" a="1"/>
  <c r="B730" i="1" s="1"/>
  <c r="B731" i="1" a="1"/>
  <c r="B731" i="1"/>
  <c r="B732" i="1" a="1"/>
  <c r="B732" i="1" s="1"/>
  <c r="B733" i="1" a="1"/>
  <c r="B733" i="1" s="1"/>
  <c r="B734" i="1" a="1"/>
  <c r="B734" i="1" s="1"/>
  <c r="B735" i="1" a="1"/>
  <c r="B735" i="1" s="1"/>
  <c r="B736" i="1" a="1"/>
  <c r="B736" i="1" s="1"/>
  <c r="B737" i="1" a="1"/>
  <c r="B737" i="1"/>
  <c r="B738" i="1" a="1"/>
  <c r="B738" i="1"/>
  <c r="B739" i="1" a="1"/>
  <c r="B739" i="1" s="1"/>
  <c r="B740" i="1" a="1"/>
  <c r="B740" i="1" s="1"/>
  <c r="B741" i="1" a="1"/>
  <c r="B741" i="1" s="1"/>
  <c r="B742" i="1" a="1"/>
  <c r="B742" i="1" s="1"/>
  <c r="B743" i="1" a="1"/>
  <c r="B743" i="1" s="1"/>
  <c r="B744" i="1" a="1"/>
  <c r="B744" i="1" s="1"/>
  <c r="B745" i="1" a="1"/>
  <c r="B745" i="1"/>
  <c r="B746" i="1" a="1"/>
  <c r="B746" i="1"/>
  <c r="B747" i="1" a="1"/>
  <c r="B747" i="1"/>
  <c r="B748" i="1" a="1"/>
  <c r="B748" i="1" s="1"/>
  <c r="B749" i="1" a="1"/>
  <c r="B749" i="1" s="1"/>
  <c r="B750" i="1" a="1"/>
  <c r="B750" i="1" s="1"/>
  <c r="B751" i="1" a="1"/>
  <c r="B751" i="1" s="1"/>
  <c r="B752" i="1" a="1"/>
  <c r="B752" i="1" s="1"/>
  <c r="B753" i="1" a="1"/>
  <c r="B753" i="1" s="1"/>
  <c r="B754" i="1" a="1"/>
  <c r="B754" i="1"/>
  <c r="B755" i="1" a="1"/>
  <c r="B755" i="1"/>
  <c r="B756" i="1" a="1"/>
  <c r="B756" i="1" s="1"/>
  <c r="B757" i="1" a="1"/>
  <c r="B757" i="1" s="1"/>
  <c r="B758" i="1" a="1"/>
  <c r="B758" i="1" s="1"/>
  <c r="B759" i="1" a="1"/>
  <c r="B759" i="1" s="1"/>
  <c r="B760" i="1" a="1"/>
  <c r="B760" i="1" s="1"/>
  <c r="B761" i="1" a="1"/>
  <c r="B761" i="1"/>
  <c r="B762" i="1" a="1"/>
  <c r="B762" i="1" s="1"/>
  <c r="B763" i="1" a="1"/>
  <c r="B763" i="1"/>
  <c r="B764" i="1" a="1"/>
  <c r="B764" i="1" s="1"/>
  <c r="B765" i="1" a="1"/>
  <c r="B765" i="1" s="1"/>
  <c r="B766" i="1" a="1"/>
  <c r="B766" i="1" s="1"/>
  <c r="B767" i="1" a="1"/>
  <c r="B767" i="1" s="1"/>
  <c r="B768" i="1" a="1"/>
  <c r="B768" i="1" s="1"/>
  <c r="B769" i="1" a="1"/>
  <c r="B769" i="1"/>
  <c r="B770" i="1" a="1"/>
  <c r="B770" i="1"/>
  <c r="B771" i="1" a="1"/>
  <c r="B771" i="1" s="1"/>
  <c r="B772" i="1" a="1"/>
  <c r="B772" i="1" s="1"/>
  <c r="B773" i="1" a="1"/>
  <c r="B773" i="1" s="1"/>
  <c r="B774" i="1" a="1"/>
  <c r="B774" i="1" s="1"/>
  <c r="B775" i="1" a="1"/>
  <c r="B775" i="1" s="1"/>
  <c r="B776" i="1" a="1"/>
  <c r="B776" i="1" s="1"/>
  <c r="B777" i="1" a="1"/>
  <c r="B777" i="1"/>
  <c r="B778" i="1" a="1"/>
  <c r="B778" i="1"/>
  <c r="B779" i="1" a="1"/>
  <c r="B779" i="1"/>
  <c r="B780" i="1" a="1"/>
  <c r="B780" i="1" s="1"/>
  <c r="B781" i="1" a="1"/>
  <c r="B781" i="1" s="1"/>
  <c r="B782" i="1" a="1"/>
  <c r="B782" i="1" s="1"/>
  <c r="B783" i="1" a="1"/>
  <c r="B783" i="1" s="1"/>
  <c r="B784" i="1" a="1"/>
  <c r="B784" i="1" s="1"/>
  <c r="B785" i="1" a="1"/>
  <c r="B785" i="1" s="1"/>
  <c r="B786" i="1" a="1"/>
  <c r="B786" i="1"/>
  <c r="B787" i="1" a="1"/>
  <c r="B787" i="1"/>
  <c r="B788" i="1" a="1"/>
  <c r="B788" i="1" s="1"/>
  <c r="B789" i="1" a="1"/>
  <c r="B789" i="1" s="1"/>
  <c r="B790" i="1" a="1"/>
  <c r="B790" i="1" s="1"/>
  <c r="B791" i="1" a="1"/>
  <c r="B791" i="1" s="1"/>
  <c r="B792" i="1" a="1"/>
  <c r="B792" i="1" s="1"/>
  <c r="B793" i="1" a="1"/>
  <c r="B793" i="1"/>
  <c r="B794" i="1" a="1"/>
  <c r="B794" i="1" s="1"/>
  <c r="B795" i="1" a="1"/>
  <c r="B795" i="1"/>
  <c r="B796" i="1" a="1"/>
  <c r="B796" i="1" s="1"/>
  <c r="B797" i="1" a="1"/>
  <c r="B797" i="1" s="1"/>
  <c r="B798" i="1" a="1"/>
  <c r="B798" i="1" s="1"/>
  <c r="B799" i="1" a="1"/>
  <c r="B799" i="1" s="1"/>
  <c r="B800" i="1" a="1"/>
  <c r="B800" i="1" s="1"/>
  <c r="B801" i="1" a="1"/>
  <c r="B801" i="1"/>
  <c r="B802" i="1" a="1"/>
  <c r="B802" i="1"/>
  <c r="B803" i="1" a="1"/>
  <c r="B803" i="1" s="1"/>
  <c r="B804" i="1" a="1"/>
  <c r="B804" i="1" s="1"/>
  <c r="B805" i="1" a="1"/>
  <c r="B805" i="1" s="1"/>
  <c r="B806" i="1" a="1"/>
  <c r="B806" i="1" s="1"/>
  <c r="B807" i="1" a="1"/>
  <c r="B807" i="1" s="1"/>
  <c r="B808" i="1" a="1"/>
  <c r="B808" i="1" s="1"/>
  <c r="B809" i="1" a="1"/>
  <c r="B809" i="1"/>
  <c r="B810" i="1" a="1"/>
  <c r="B810" i="1"/>
  <c r="B811" i="1" a="1"/>
  <c r="B811" i="1"/>
  <c r="B812" i="1" a="1"/>
  <c r="B812" i="1" s="1"/>
  <c r="B813" i="1" a="1"/>
  <c r="B813" i="1" s="1"/>
  <c r="B814" i="1" a="1"/>
  <c r="B814" i="1" s="1"/>
  <c r="B815" i="1" a="1"/>
  <c r="B815" i="1" s="1"/>
  <c r="B816" i="1" a="1"/>
  <c r="B816" i="1" s="1"/>
  <c r="B817" i="1" a="1"/>
  <c r="B817" i="1" s="1"/>
  <c r="B818" i="1" a="1"/>
  <c r="B818" i="1"/>
  <c r="B819" i="1" a="1"/>
  <c r="B819" i="1"/>
  <c r="B820" i="1" a="1"/>
  <c r="B820" i="1" s="1"/>
  <c r="B821" i="1" a="1"/>
  <c r="B821" i="1" s="1"/>
  <c r="B822" i="1" a="1"/>
  <c r="B822" i="1" s="1"/>
  <c r="B823" i="1" a="1"/>
  <c r="B823" i="1" s="1"/>
  <c r="B824" i="1" a="1"/>
  <c r="B824" i="1" s="1"/>
  <c r="B825" i="1" a="1"/>
  <c r="B825" i="1"/>
  <c r="B826" i="1" a="1"/>
  <c r="B826" i="1" s="1"/>
  <c r="B827" i="1" a="1"/>
  <c r="B827" i="1"/>
  <c r="B828" i="1" a="1"/>
  <c r="B828" i="1" s="1"/>
  <c r="B829" i="1" a="1"/>
  <c r="B829" i="1" s="1"/>
  <c r="B830" i="1" a="1"/>
  <c r="B830" i="1" s="1"/>
  <c r="B831" i="1" a="1"/>
  <c r="B831" i="1" s="1"/>
  <c r="B832" i="1" a="1"/>
  <c r="B832" i="1" s="1"/>
  <c r="B833" i="1" a="1"/>
  <c r="B833" i="1"/>
  <c r="B834" i="1" a="1"/>
  <c r="B834" i="1"/>
  <c r="B835" i="1" a="1"/>
  <c r="B835" i="1" s="1"/>
  <c r="B836" i="1" a="1"/>
  <c r="B836" i="1" s="1"/>
  <c r="B837" i="1" a="1"/>
  <c r="B837" i="1" s="1"/>
  <c r="B838" i="1" a="1"/>
  <c r="B838" i="1" s="1"/>
  <c r="B839" i="1" a="1"/>
  <c r="B839" i="1" s="1"/>
  <c r="B840" i="1" a="1"/>
  <c r="B840" i="1" s="1"/>
  <c r="B841" i="1" a="1"/>
  <c r="B841" i="1"/>
  <c r="B842" i="1" a="1"/>
  <c r="B842" i="1"/>
  <c r="B843" i="1" a="1"/>
  <c r="B843" i="1"/>
  <c r="B844" i="1" a="1"/>
  <c r="B844" i="1" s="1"/>
  <c r="B845" i="1" a="1"/>
  <c r="B845" i="1" s="1"/>
  <c r="B846" i="1" a="1"/>
  <c r="B846" i="1" s="1"/>
  <c r="B847" i="1" a="1"/>
  <c r="B847" i="1" s="1"/>
  <c r="B848" i="1" a="1"/>
  <c r="B848" i="1" s="1"/>
  <c r="B849" i="1" a="1"/>
  <c r="B849" i="1" s="1"/>
  <c r="B850" i="1" a="1"/>
  <c r="B850" i="1"/>
  <c r="B851" i="1" a="1"/>
  <c r="B851" i="1"/>
  <c r="B852" i="1" a="1"/>
  <c r="B852" i="1" s="1"/>
  <c r="B853" i="1" a="1"/>
  <c r="B853" i="1" s="1"/>
  <c r="B854" i="1" a="1"/>
  <c r="B854" i="1" s="1"/>
  <c r="B855" i="1" a="1"/>
  <c r="B855" i="1" s="1"/>
  <c r="B856" i="1" a="1"/>
  <c r="B856" i="1" s="1"/>
  <c r="B857" i="1" a="1"/>
  <c r="B857" i="1"/>
  <c r="B858" i="1" a="1"/>
  <c r="B858" i="1" s="1"/>
  <c r="B859" i="1" a="1"/>
  <c r="B859" i="1"/>
  <c r="B860" i="1" a="1"/>
  <c r="B860" i="1" s="1"/>
  <c r="B861" i="1" a="1"/>
  <c r="B861" i="1" s="1"/>
  <c r="B862" i="1" a="1"/>
  <c r="B862" i="1" s="1"/>
  <c r="B863" i="1" a="1"/>
  <c r="B863" i="1" s="1"/>
  <c r="B864" i="1" a="1"/>
  <c r="B864" i="1" s="1"/>
  <c r="B865" i="1" a="1"/>
  <c r="B865" i="1"/>
  <c r="B866" i="1" a="1"/>
  <c r="B866" i="1"/>
  <c r="B867" i="1" a="1"/>
  <c r="B867" i="1" s="1"/>
  <c r="B868" i="1" a="1"/>
  <c r="B868" i="1"/>
  <c r="B869" i="1" a="1"/>
  <c r="B869" i="1" s="1"/>
  <c r="B870" i="1" a="1"/>
  <c r="B870" i="1"/>
  <c r="B871" i="1" a="1"/>
  <c r="B871" i="1" s="1"/>
  <c r="B872" i="1" a="1"/>
  <c r="B872" i="1"/>
  <c r="B873" i="1" a="1"/>
  <c r="B873" i="1" s="1"/>
  <c r="B874" i="1" a="1"/>
  <c r="B874" i="1"/>
  <c r="B875" i="1" a="1"/>
  <c r="B875" i="1" s="1"/>
  <c r="B876" i="1" a="1"/>
  <c r="B876" i="1"/>
  <c r="B877" i="1" a="1"/>
  <c r="B877" i="1" s="1"/>
  <c r="B878" i="1" a="1"/>
  <c r="B878" i="1"/>
  <c r="B879" i="1" a="1"/>
  <c r="B879" i="1" s="1"/>
  <c r="B880" i="1" a="1"/>
  <c r="B880" i="1"/>
  <c r="B881" i="1" a="1"/>
  <c r="B881" i="1" s="1"/>
  <c r="B882" i="1" a="1"/>
  <c r="B882" i="1"/>
  <c r="B883" i="1" a="1"/>
  <c r="B883" i="1" s="1"/>
  <c r="B884" i="1" a="1"/>
  <c r="B884" i="1"/>
  <c r="B885" i="1" a="1"/>
  <c r="B885" i="1" s="1"/>
  <c r="B886" i="1" a="1"/>
  <c r="B886" i="1"/>
  <c r="B887" i="1" a="1"/>
  <c r="B887" i="1" s="1"/>
  <c r="B888" i="1" a="1"/>
  <c r="B888" i="1"/>
  <c r="B889" i="1" a="1"/>
  <c r="B889" i="1" s="1"/>
  <c r="B890" i="1" a="1"/>
  <c r="B890" i="1"/>
  <c r="B891" i="1" a="1"/>
  <c r="B891" i="1" s="1"/>
  <c r="B892" i="1" a="1"/>
  <c r="B892" i="1"/>
  <c r="B893" i="1" a="1"/>
  <c r="B893" i="1" s="1"/>
  <c r="B894" i="1" a="1"/>
  <c r="B894" i="1"/>
  <c r="B895" i="1" a="1"/>
  <c r="B895" i="1" s="1"/>
  <c r="B896" i="1" a="1"/>
  <c r="B896" i="1"/>
  <c r="B897" i="1" a="1"/>
  <c r="B897" i="1" s="1"/>
  <c r="B898" i="1" a="1"/>
  <c r="B898" i="1"/>
  <c r="B899" i="1" a="1"/>
  <c r="B899" i="1" s="1"/>
  <c r="B900" i="1" a="1"/>
  <c r="B900" i="1"/>
  <c r="B901" i="1" a="1"/>
  <c r="B901" i="1" s="1"/>
  <c r="B902" i="1" a="1"/>
  <c r="B902" i="1"/>
  <c r="B903" i="1" a="1"/>
  <c r="B903" i="1" s="1"/>
  <c r="B904" i="1" a="1"/>
  <c r="B904" i="1"/>
  <c r="B905" i="1" a="1"/>
  <c r="B905" i="1" s="1"/>
  <c r="B906" i="1" a="1"/>
  <c r="B906" i="1"/>
  <c r="B907" i="1" a="1"/>
  <c r="B907" i="1" s="1"/>
  <c r="B908" i="1" a="1"/>
  <c r="B908" i="1"/>
  <c r="B909" i="1" a="1"/>
  <c r="B909" i="1" s="1"/>
  <c r="B910" i="1" a="1"/>
  <c r="B910" i="1"/>
  <c r="B911" i="1" a="1"/>
  <c r="B911" i="1" s="1"/>
  <c r="B912" i="1" a="1"/>
  <c r="B912" i="1"/>
  <c r="B913" i="1" a="1"/>
  <c r="B913" i="1" s="1"/>
  <c r="B914" i="1" a="1"/>
  <c r="B914" i="1"/>
  <c r="B915" i="1" a="1"/>
  <c r="B915" i="1" s="1"/>
  <c r="B916" i="1" a="1"/>
  <c r="B916" i="1"/>
  <c r="B917" i="1" a="1"/>
  <c r="B917" i="1" s="1"/>
  <c r="B918" i="1" a="1"/>
  <c r="B918" i="1"/>
  <c r="B919" i="1" a="1"/>
  <c r="B919" i="1" s="1"/>
  <c r="B920" i="1" a="1"/>
  <c r="B920" i="1"/>
  <c r="B921" i="1" a="1"/>
  <c r="B921" i="1" s="1"/>
  <c r="B922" i="1" a="1"/>
  <c r="B922" i="1"/>
  <c r="B923" i="1" a="1"/>
  <c r="B923" i="1" s="1"/>
  <c r="B924" i="1" a="1"/>
  <c r="B924" i="1"/>
  <c r="B925" i="1" a="1"/>
  <c r="B925" i="1" s="1"/>
  <c r="B926" i="1" a="1"/>
  <c r="B926" i="1"/>
  <c r="B927" i="1" a="1"/>
  <c r="B927" i="1" s="1"/>
  <c r="B928" i="1" a="1"/>
  <c r="B928" i="1"/>
  <c r="B929" i="1" a="1"/>
  <c r="B929" i="1" s="1"/>
  <c r="B930" i="1" a="1"/>
  <c r="B930" i="1"/>
  <c r="B931" i="1" a="1"/>
  <c r="B931" i="1" s="1"/>
  <c r="B932" i="1" a="1"/>
  <c r="B932" i="1"/>
  <c r="B933" i="1" a="1"/>
  <c r="B933" i="1" s="1"/>
  <c r="B934" i="1" a="1"/>
  <c r="B934" i="1"/>
  <c r="B935" i="1" a="1"/>
  <c r="B935" i="1" s="1"/>
  <c r="B936" i="1" a="1"/>
  <c r="B936" i="1" s="1"/>
  <c r="B937" i="1" a="1"/>
  <c r="B937" i="1" s="1"/>
  <c r="B938" i="1" a="1"/>
  <c r="B938" i="1"/>
  <c r="B939" i="1" a="1"/>
  <c r="B939" i="1" s="1"/>
  <c r="B940" i="1" a="1"/>
  <c r="B940" i="1" s="1"/>
  <c r="B941" i="1" a="1"/>
  <c r="B941" i="1" s="1"/>
  <c r="B942" i="1" a="1"/>
  <c r="B942" i="1"/>
  <c r="B943" i="1" a="1"/>
  <c r="B943" i="1" s="1"/>
  <c r="B944" i="1" a="1"/>
  <c r="B944" i="1" s="1"/>
  <c r="B945" i="1" a="1"/>
  <c r="B945" i="1" s="1"/>
  <c r="B946" i="1" a="1"/>
  <c r="B946" i="1"/>
  <c r="B947" i="1" a="1"/>
  <c r="B947" i="1" s="1"/>
  <c r="B948" i="1" a="1"/>
  <c r="B948" i="1" s="1"/>
  <c r="B949" i="1" a="1"/>
  <c r="B949" i="1" s="1"/>
  <c r="B950" i="1" a="1"/>
  <c r="B950" i="1"/>
  <c r="B951" i="1" a="1"/>
  <c r="B951" i="1" s="1"/>
  <c r="B952" i="1" a="1"/>
  <c r="B952" i="1" s="1"/>
  <c r="B953" i="1" a="1"/>
  <c r="B953" i="1" s="1"/>
  <c r="B954" i="1" a="1"/>
  <c r="B954" i="1"/>
  <c r="B955" i="1" a="1"/>
  <c r="B955" i="1" s="1"/>
  <c r="B956" i="1" a="1"/>
  <c r="B956" i="1" s="1"/>
  <c r="B957" i="1" a="1"/>
  <c r="B957" i="1" s="1"/>
  <c r="B958" i="1" a="1"/>
  <c r="B958" i="1"/>
  <c r="B959" i="1" a="1"/>
  <c r="B959" i="1" s="1"/>
  <c r="B960" i="1" a="1"/>
  <c r="B960" i="1" s="1"/>
  <c r="B961" i="1" a="1"/>
  <c r="B961" i="1" s="1"/>
  <c r="B962" i="1" a="1"/>
  <c r="B962" i="1"/>
  <c r="B963" i="1" a="1"/>
  <c r="B963" i="1" s="1"/>
  <c r="B964" i="1" a="1"/>
  <c r="B964" i="1" s="1"/>
  <c r="B965" i="1" a="1"/>
  <c r="B965" i="1" s="1"/>
  <c r="B966" i="1" a="1"/>
  <c r="B966" i="1"/>
  <c r="B967" i="1" a="1"/>
  <c r="B967" i="1" s="1"/>
  <c r="B968" i="1" a="1"/>
  <c r="B968" i="1" s="1"/>
  <c r="B969" i="1" a="1"/>
  <c r="B969" i="1" s="1"/>
  <c r="B970" i="1" a="1"/>
  <c r="B970" i="1"/>
  <c r="B971" i="1" a="1"/>
  <c r="B971" i="1" s="1"/>
  <c r="B972" i="1" a="1"/>
  <c r="B972" i="1" s="1"/>
  <c r="B973" i="1" a="1"/>
  <c r="B973" i="1" s="1"/>
  <c r="B974" i="1" a="1"/>
  <c r="B974" i="1"/>
  <c r="B975" i="1" a="1"/>
  <c r="B975" i="1" s="1"/>
  <c r="B976" i="1" a="1"/>
  <c r="B976" i="1" s="1"/>
  <c r="B977" i="1" a="1"/>
  <c r="B977" i="1" s="1"/>
  <c r="B978" i="1" a="1"/>
  <c r="B978" i="1"/>
  <c r="B979" i="1" a="1"/>
  <c r="B979" i="1" s="1"/>
  <c r="B980" i="1" a="1"/>
  <c r="B980" i="1" s="1"/>
  <c r="B981" i="1" a="1"/>
  <c r="B981" i="1" s="1"/>
  <c r="B982" i="1" a="1"/>
  <c r="B982" i="1"/>
  <c r="B983" i="1" a="1"/>
  <c r="B983" i="1" s="1"/>
  <c r="B984" i="1" a="1"/>
  <c r="B984" i="1" s="1"/>
  <c r="B985" i="1" a="1"/>
  <c r="B985" i="1" s="1"/>
  <c r="B986" i="1" a="1"/>
  <c r="B986" i="1" s="1"/>
  <c r="B987" i="1" a="1"/>
  <c r="B987" i="1" s="1"/>
  <c r="B988" i="1" a="1"/>
  <c r="B988" i="1" s="1"/>
  <c r="B989" i="1" a="1"/>
  <c r="B989" i="1" s="1"/>
  <c r="B990" i="1" a="1"/>
  <c r="B990" i="1" s="1"/>
  <c r="B991" i="1" a="1"/>
  <c r="B991" i="1" s="1"/>
  <c r="B992" i="1" a="1"/>
  <c r="B992" i="1" s="1"/>
  <c r="B993" i="1" a="1"/>
  <c r="B993" i="1" s="1"/>
  <c r="B994" i="1" a="1"/>
  <c r="B994" i="1" s="1"/>
  <c r="B995" i="1" a="1"/>
  <c r="B995" i="1" s="1"/>
  <c r="B996" i="1" a="1"/>
  <c r="B996" i="1" s="1"/>
  <c r="B997" i="1" a="1"/>
  <c r="B997" i="1" s="1"/>
  <c r="B998" i="1" a="1"/>
  <c r="B998" i="1" s="1"/>
  <c r="B999" i="1" a="1"/>
  <c r="B999" i="1" s="1"/>
  <c r="B1000" i="1" a="1"/>
  <c r="B1000" i="1" s="1"/>
  <c r="B1001" i="1" a="1"/>
  <c r="B1001" i="1" s="1"/>
  <c r="B1002" i="1" a="1"/>
  <c r="B1002" i="1" s="1"/>
  <c r="B1003" i="1" a="1"/>
  <c r="B1003" i="1" s="1"/>
  <c r="B1004" i="1" a="1"/>
  <c r="B1004" i="1" s="1"/>
  <c r="B1005" i="1" a="1"/>
  <c r="B1005" i="1" s="1"/>
  <c r="B1006" i="1" a="1"/>
  <c r="B1006" i="1" s="1"/>
  <c r="B1007" i="1" a="1"/>
  <c r="B1007" i="1" s="1"/>
  <c r="B1008" i="1" a="1"/>
  <c r="B1008" i="1" s="1"/>
  <c r="B1009" i="1" a="1"/>
  <c r="B1009" i="1" s="1"/>
  <c r="B1010" i="1" a="1"/>
  <c r="B1010" i="1" s="1"/>
  <c r="B1011" i="1" a="1"/>
  <c r="B1011" i="1" s="1"/>
  <c r="B1012" i="1" a="1"/>
  <c r="B1012" i="1" s="1"/>
  <c r="B1013" i="1" a="1"/>
  <c r="B1013" i="1" s="1"/>
  <c r="B1014" i="1" a="1"/>
  <c r="B1014" i="1" s="1"/>
  <c r="B1015" i="1" a="1"/>
  <c r="B1015" i="1" s="1"/>
  <c r="B1016" i="1" a="1"/>
  <c r="B1016" i="1" s="1"/>
  <c r="B1017" i="1" a="1"/>
  <c r="B1017" i="1" s="1"/>
  <c r="B1018" i="1" a="1"/>
  <c r="B1018" i="1" s="1"/>
  <c r="B1019" i="1" a="1"/>
  <c r="B1019" i="1" s="1"/>
  <c r="B1020" i="1" a="1"/>
  <c r="B1020" i="1" s="1"/>
  <c r="B1021" i="1" a="1"/>
  <c r="B1021" i="1" s="1"/>
  <c r="B1022" i="1" a="1"/>
  <c r="B1022" i="1" s="1"/>
  <c r="B1023" i="1" a="1"/>
  <c r="B1023" i="1" s="1"/>
  <c r="B1024" i="1" a="1"/>
  <c r="B1024" i="1" s="1"/>
  <c r="B1025" i="1" a="1"/>
  <c r="B1025" i="1" s="1"/>
  <c r="B1026" i="1" a="1"/>
  <c r="B1026" i="1" s="1"/>
  <c r="B1027" i="1" a="1"/>
  <c r="B1027" i="1" s="1"/>
  <c r="B1028" i="1" a="1"/>
  <c r="B1028" i="1" s="1"/>
  <c r="B1029" i="1" a="1"/>
  <c r="B1029" i="1" s="1"/>
  <c r="B1030" i="1" a="1"/>
  <c r="B1030" i="1" s="1"/>
  <c r="B1031" i="1" a="1"/>
  <c r="B1031" i="1" s="1"/>
  <c r="B1032" i="1" a="1"/>
  <c r="B1032" i="1" s="1"/>
  <c r="B1033" i="1" a="1"/>
  <c r="B1033" i="1" s="1"/>
  <c r="B1034" i="1" a="1"/>
  <c r="B1034" i="1" s="1"/>
  <c r="B1035" i="1" a="1"/>
  <c r="B1035" i="1" s="1"/>
  <c r="B1036" i="1" a="1"/>
  <c r="B1036" i="1" s="1"/>
  <c r="B1037" i="1" a="1"/>
  <c r="B1037" i="1" s="1"/>
  <c r="B1038" i="1" a="1"/>
  <c r="B1038" i="1" s="1"/>
  <c r="B1039" i="1" a="1"/>
  <c r="B1039" i="1" s="1"/>
  <c r="B1040" i="1" a="1"/>
  <c r="B1040" i="1" s="1"/>
  <c r="B1041" i="1" a="1"/>
  <c r="B1041" i="1" s="1"/>
  <c r="B1042" i="1" a="1"/>
  <c r="B1042" i="1" s="1"/>
  <c r="B1043" i="1" a="1"/>
  <c r="B1043" i="1" s="1"/>
  <c r="B1044" i="1" a="1"/>
  <c r="B1044" i="1" s="1"/>
  <c r="B1045" i="1" a="1"/>
  <c r="B1045" i="1" s="1"/>
  <c r="B1046" i="1" a="1"/>
  <c r="B1046" i="1" s="1"/>
  <c r="B1047" i="1" a="1"/>
  <c r="B1047" i="1" s="1"/>
  <c r="B1048" i="1" a="1"/>
  <c r="B1048" i="1" s="1"/>
  <c r="B1049" i="1" a="1"/>
  <c r="B1049" i="1" s="1"/>
  <c r="B1050" i="1" a="1"/>
  <c r="B1050" i="1" s="1"/>
  <c r="B1051" i="1" a="1"/>
  <c r="B1051" i="1" s="1"/>
  <c r="B1052" i="1" a="1"/>
  <c r="B1052" i="1" s="1"/>
  <c r="B1053" i="1" a="1"/>
  <c r="B1053" i="1" s="1"/>
  <c r="B1054" i="1" a="1"/>
  <c r="B1054" i="1" s="1"/>
  <c r="B1055" i="1" a="1"/>
  <c r="B1055" i="1" s="1"/>
  <c r="B1056" i="1" a="1"/>
  <c r="B1056" i="1" s="1"/>
  <c r="B1057" i="1" a="1"/>
  <c r="B1057" i="1" s="1"/>
  <c r="B1058" i="1" a="1"/>
  <c r="B1058" i="1" s="1"/>
  <c r="B1059" i="1" a="1"/>
  <c r="B1059" i="1" s="1"/>
  <c r="B1060" i="1" a="1"/>
  <c r="B1060" i="1" s="1"/>
  <c r="B1061" i="1" a="1"/>
  <c r="B1061" i="1" s="1"/>
  <c r="B1062" i="1" a="1"/>
  <c r="B1062" i="1" s="1"/>
  <c r="B1063" i="1" a="1"/>
  <c r="B1063" i="1" s="1"/>
  <c r="B1064" i="1" a="1"/>
  <c r="B1064" i="1" s="1"/>
  <c r="B1065" i="1" a="1"/>
  <c r="B1065" i="1" s="1"/>
  <c r="B1066" i="1" a="1"/>
  <c r="B1066" i="1" s="1"/>
  <c r="B1067" i="1" a="1"/>
  <c r="B1067" i="1" s="1"/>
  <c r="B1068" i="1" a="1"/>
  <c r="B1068" i="1" s="1"/>
  <c r="B1069" i="1" a="1"/>
  <c r="B1069" i="1" s="1"/>
  <c r="B1070" i="1" a="1"/>
  <c r="B1070" i="1" s="1"/>
  <c r="B1071" i="1" a="1"/>
  <c r="B1071" i="1" s="1"/>
  <c r="B1072" i="1" a="1"/>
  <c r="B1072" i="1" s="1"/>
  <c r="B1073" i="1" a="1"/>
  <c r="B1073" i="1" s="1"/>
  <c r="B1074" i="1" a="1"/>
  <c r="B1074" i="1" s="1"/>
  <c r="B1075" i="1" a="1"/>
  <c r="B1075" i="1" s="1"/>
  <c r="B1076" i="1" a="1"/>
  <c r="B1076" i="1" s="1"/>
  <c r="B1077" i="1" a="1"/>
  <c r="B1077" i="1" s="1"/>
  <c r="B1078" i="1" a="1"/>
  <c r="B1078" i="1" s="1"/>
  <c r="B1079" i="1" a="1"/>
  <c r="B1079" i="1" s="1"/>
  <c r="B1080" i="1" a="1"/>
  <c r="B1080" i="1" s="1"/>
  <c r="B1081" i="1" a="1"/>
  <c r="B1081" i="1" s="1"/>
  <c r="B1082" i="1" a="1"/>
  <c r="B1082" i="1" s="1"/>
  <c r="B1083" i="1" a="1"/>
  <c r="B1083" i="1" s="1"/>
  <c r="B1084" i="1" a="1"/>
  <c r="B1084" i="1" s="1"/>
  <c r="B2" i="1" a="1"/>
  <c r="B2" i="1" s="1"/>
  <c r="N88" i="3"/>
  <c r="M88" i="3"/>
  <c r="E88" i="3"/>
  <c r="C88" i="3"/>
  <c r="N87" i="3"/>
  <c r="M87" i="3"/>
  <c r="E87" i="3"/>
  <c r="C87" i="3"/>
  <c r="N86" i="3"/>
  <c r="M86" i="3"/>
  <c r="E86" i="3"/>
  <c r="C86" i="3"/>
  <c r="N85" i="3"/>
  <c r="M85" i="3"/>
  <c r="E85" i="3"/>
  <c r="C85" i="3"/>
  <c r="N84" i="3"/>
  <c r="M84" i="3"/>
  <c r="E84" i="3"/>
  <c r="C84" i="3"/>
  <c r="N83" i="3"/>
  <c r="K83" i="3"/>
  <c r="E83" i="3"/>
  <c r="C83" i="3"/>
  <c r="N82" i="3"/>
  <c r="M82" i="3"/>
  <c r="E82" i="3"/>
  <c r="C82" i="3"/>
  <c r="N81" i="3"/>
  <c r="M81" i="3"/>
  <c r="E81" i="3"/>
  <c r="C81" i="3"/>
  <c r="N80" i="3"/>
  <c r="L80" i="3"/>
  <c r="K80" i="3"/>
  <c r="E80" i="3"/>
  <c r="C80" i="3"/>
  <c r="N79" i="3"/>
  <c r="K79" i="3"/>
  <c r="J79" i="3"/>
  <c r="F79" i="3"/>
  <c r="E79" i="3"/>
  <c r="C79" i="3"/>
  <c r="B79" i="3"/>
  <c r="A79" i="3"/>
  <c r="N78" i="3"/>
  <c r="K78" i="3"/>
  <c r="J78" i="3"/>
  <c r="F78" i="3"/>
  <c r="E78" i="3"/>
  <c r="C78" i="3"/>
  <c r="B78" i="3"/>
  <c r="A78" i="3"/>
  <c r="N77" i="3"/>
  <c r="K77" i="3"/>
  <c r="J77" i="3"/>
  <c r="F77" i="3"/>
  <c r="E77" i="3"/>
  <c r="C77" i="3"/>
  <c r="B77" i="3"/>
  <c r="A77" i="3"/>
  <c r="N76" i="3"/>
  <c r="K76" i="3"/>
  <c r="J76" i="3"/>
  <c r="F76" i="3"/>
  <c r="E76" i="3"/>
  <c r="C76" i="3"/>
  <c r="B76" i="3"/>
  <c r="A76" i="3"/>
  <c r="N75" i="3"/>
  <c r="K75" i="3"/>
  <c r="J75" i="3"/>
  <c r="F75" i="3"/>
  <c r="E75" i="3"/>
  <c r="C75" i="3"/>
  <c r="B75" i="3"/>
  <c r="A75" i="3"/>
  <c r="N74" i="3"/>
  <c r="K74" i="3"/>
  <c r="J74" i="3"/>
  <c r="F74" i="3"/>
  <c r="E74" i="3"/>
  <c r="C74" i="3"/>
  <c r="B74" i="3"/>
  <c r="A74" i="3"/>
  <c r="N73" i="3"/>
  <c r="K73" i="3"/>
  <c r="J73" i="3"/>
  <c r="F73" i="3"/>
  <c r="E73" i="3"/>
  <c r="C73" i="3"/>
  <c r="B73" i="3"/>
  <c r="A73" i="3"/>
  <c r="N72" i="3"/>
  <c r="K72" i="3"/>
  <c r="J72" i="3"/>
  <c r="F72" i="3"/>
  <c r="E72" i="3"/>
  <c r="C72" i="3"/>
  <c r="B72" i="3"/>
  <c r="A72" i="3"/>
  <c r="N71" i="3"/>
  <c r="K71" i="3"/>
  <c r="J71" i="3"/>
  <c r="F71" i="3"/>
  <c r="E71" i="3"/>
  <c r="C71" i="3"/>
  <c r="B71" i="3"/>
  <c r="A71" i="3"/>
  <c r="N70" i="3"/>
  <c r="K70" i="3"/>
  <c r="J70" i="3"/>
  <c r="F70" i="3"/>
  <c r="E70" i="3"/>
  <c r="C70" i="3"/>
  <c r="B70" i="3"/>
  <c r="A70" i="3"/>
  <c r="N69" i="3"/>
  <c r="K69" i="3"/>
  <c r="J69" i="3"/>
  <c r="F69" i="3"/>
  <c r="E69" i="3"/>
  <c r="C69" i="3"/>
  <c r="B69" i="3"/>
  <c r="A69" i="3"/>
  <c r="N68" i="3"/>
  <c r="K68" i="3"/>
  <c r="J68" i="3"/>
  <c r="F68" i="3"/>
  <c r="E68" i="3"/>
  <c r="C68" i="3"/>
  <c r="B68" i="3"/>
  <c r="A68" i="3"/>
  <c r="N67" i="3"/>
  <c r="K67" i="3"/>
  <c r="J67" i="3"/>
  <c r="F67" i="3"/>
  <c r="E67" i="3"/>
  <c r="D67" i="3"/>
  <c r="C67" i="3"/>
  <c r="B67" i="3"/>
  <c r="A67" i="3"/>
  <c r="N66" i="3"/>
  <c r="K66" i="3"/>
  <c r="J66" i="3"/>
  <c r="F66" i="3"/>
  <c r="E66" i="3"/>
  <c r="C66" i="3"/>
  <c r="B66" i="3"/>
  <c r="A66" i="3"/>
  <c r="N65" i="3"/>
  <c r="K65" i="3"/>
  <c r="F65" i="3"/>
  <c r="E65" i="3"/>
  <c r="C65" i="3"/>
  <c r="B65" i="3"/>
  <c r="A65" i="3"/>
  <c r="N64" i="3"/>
  <c r="K64" i="3"/>
  <c r="J64" i="3"/>
  <c r="F64" i="3"/>
  <c r="E64" i="3"/>
  <c r="C64" i="3"/>
  <c r="B64" i="3"/>
  <c r="A64" i="3"/>
  <c r="N63" i="3"/>
  <c r="K63" i="3"/>
  <c r="J63" i="3"/>
  <c r="F63" i="3"/>
  <c r="E63" i="3"/>
  <c r="C63" i="3"/>
  <c r="B63" i="3"/>
  <c r="A63" i="3"/>
  <c r="N62" i="3"/>
  <c r="K62" i="3"/>
  <c r="F62" i="3"/>
  <c r="E62" i="3"/>
  <c r="C62" i="3"/>
  <c r="B62" i="3"/>
  <c r="A62" i="3"/>
  <c r="N61" i="3"/>
  <c r="K61" i="3"/>
  <c r="J61" i="3"/>
  <c r="F61" i="3"/>
  <c r="E61" i="3"/>
  <c r="C61" i="3"/>
  <c r="B61" i="3"/>
  <c r="A61" i="3"/>
  <c r="N60" i="3"/>
  <c r="K60" i="3"/>
  <c r="F60" i="3"/>
  <c r="E60" i="3"/>
  <c r="C60" i="3"/>
  <c r="B60" i="3"/>
  <c r="A60" i="3"/>
  <c r="N59" i="3"/>
  <c r="H59" i="3"/>
  <c r="G59" i="3"/>
  <c r="F59" i="3"/>
  <c r="E59" i="3"/>
  <c r="C59" i="3"/>
  <c r="B59" i="3"/>
  <c r="A59" i="3"/>
  <c r="N58" i="3"/>
  <c r="K58" i="3"/>
  <c r="J58" i="3"/>
  <c r="I58" i="3"/>
  <c r="F58" i="3"/>
  <c r="E58" i="3"/>
  <c r="C58" i="3"/>
  <c r="B58" i="3"/>
  <c r="A58" i="3"/>
  <c r="N57" i="3"/>
  <c r="K57" i="3"/>
  <c r="J57" i="3"/>
  <c r="F57" i="3"/>
  <c r="E57" i="3"/>
  <c r="C57" i="3"/>
  <c r="B57" i="3"/>
  <c r="A57" i="3"/>
  <c r="N56" i="3"/>
  <c r="K56" i="3"/>
  <c r="J56" i="3"/>
  <c r="F56" i="3"/>
  <c r="E56" i="3"/>
  <c r="C56" i="3"/>
  <c r="B56" i="3"/>
  <c r="A56" i="3"/>
  <c r="N55" i="3"/>
  <c r="K55" i="3"/>
  <c r="J55" i="3"/>
  <c r="F55" i="3"/>
  <c r="E55" i="3"/>
  <c r="C55" i="3"/>
  <c r="B55" i="3"/>
  <c r="A55" i="3"/>
  <c r="N54" i="3"/>
  <c r="K54" i="3"/>
  <c r="J54" i="3"/>
  <c r="F54" i="3"/>
  <c r="E54" i="3"/>
  <c r="C54" i="3"/>
  <c r="B54" i="3"/>
  <c r="A54" i="3"/>
  <c r="N53" i="3"/>
  <c r="K53" i="3"/>
  <c r="J53" i="3"/>
  <c r="F53" i="3"/>
  <c r="E53" i="3"/>
  <c r="C53" i="3"/>
  <c r="B53" i="3"/>
  <c r="A53" i="3"/>
  <c r="N52" i="3"/>
  <c r="K52" i="3"/>
  <c r="J52" i="3"/>
  <c r="F52" i="3"/>
  <c r="E52" i="3"/>
  <c r="C52" i="3"/>
  <c r="B52" i="3"/>
  <c r="A52" i="3"/>
  <c r="N51" i="3"/>
  <c r="K51" i="3"/>
  <c r="J51" i="3"/>
  <c r="F51" i="3"/>
  <c r="E51" i="3"/>
  <c r="C51" i="3"/>
  <c r="B51" i="3"/>
  <c r="A51" i="3"/>
  <c r="N50" i="3"/>
  <c r="K50" i="3"/>
  <c r="F50" i="3"/>
  <c r="E50" i="3"/>
  <c r="D50" i="3"/>
  <c r="C50" i="3"/>
  <c r="B50" i="3"/>
  <c r="A50" i="3"/>
  <c r="N49" i="3"/>
  <c r="K49" i="3"/>
  <c r="J49" i="3"/>
  <c r="F49" i="3"/>
  <c r="E49" i="3"/>
  <c r="C49" i="3"/>
  <c r="B49" i="3"/>
  <c r="A49" i="3"/>
  <c r="N48" i="3"/>
  <c r="K48" i="3"/>
  <c r="J48" i="3"/>
  <c r="F48" i="3"/>
  <c r="E48" i="3"/>
  <c r="C48" i="3"/>
  <c r="B48" i="3"/>
  <c r="A48" i="3"/>
  <c r="N47" i="3"/>
  <c r="K47" i="3"/>
  <c r="J47" i="3"/>
  <c r="F47" i="3"/>
  <c r="E47" i="3"/>
  <c r="C47" i="3"/>
  <c r="B47" i="3"/>
  <c r="A47" i="3"/>
  <c r="N46" i="3"/>
  <c r="K46" i="3"/>
  <c r="F46" i="3"/>
  <c r="E46" i="3"/>
  <c r="C46" i="3"/>
  <c r="B46" i="3"/>
  <c r="A46" i="3"/>
  <c r="N45" i="3"/>
  <c r="L45" i="3"/>
  <c r="K45" i="3"/>
  <c r="F45" i="3"/>
  <c r="E45" i="3"/>
  <c r="C45" i="3"/>
  <c r="B45" i="3"/>
  <c r="A45" i="3"/>
  <c r="N44" i="3"/>
  <c r="K44" i="3"/>
  <c r="J44" i="3"/>
  <c r="F44" i="3"/>
  <c r="E44" i="3"/>
  <c r="C44" i="3"/>
  <c r="B44" i="3"/>
  <c r="A44" i="3"/>
  <c r="N43" i="3"/>
  <c r="K43" i="3"/>
  <c r="H43" i="3"/>
  <c r="F43" i="3"/>
  <c r="E43" i="3"/>
  <c r="D43" i="3"/>
  <c r="C43" i="3"/>
  <c r="B43" i="3"/>
  <c r="A43" i="3"/>
  <c r="N42" i="3"/>
  <c r="H42" i="3"/>
  <c r="F42" i="3"/>
  <c r="E42" i="3"/>
  <c r="D42" i="3"/>
  <c r="C42" i="3"/>
  <c r="B42" i="3"/>
  <c r="A42" i="3"/>
  <c r="N41" i="3"/>
  <c r="K41" i="3"/>
  <c r="J41" i="3"/>
  <c r="H41" i="3"/>
  <c r="F41" i="3"/>
  <c r="E41" i="3"/>
  <c r="D41" i="3"/>
  <c r="C41" i="3"/>
  <c r="B41" i="3"/>
  <c r="A41" i="3"/>
  <c r="N40" i="3"/>
  <c r="K40" i="3"/>
  <c r="J40" i="3"/>
  <c r="H40" i="3"/>
  <c r="F40" i="3"/>
  <c r="E40" i="3"/>
  <c r="D40" i="3"/>
  <c r="C40" i="3"/>
  <c r="B40" i="3"/>
  <c r="A40" i="3"/>
  <c r="N39" i="3"/>
  <c r="K39" i="3"/>
  <c r="H39" i="3"/>
  <c r="F39" i="3"/>
  <c r="E39" i="3"/>
  <c r="D39" i="3"/>
  <c r="C39" i="3"/>
  <c r="B39" i="3"/>
  <c r="A39" i="3"/>
  <c r="N38" i="3"/>
  <c r="K38" i="3"/>
  <c r="H38" i="3"/>
  <c r="F38" i="3"/>
  <c r="E38" i="3"/>
  <c r="D38" i="3"/>
  <c r="C38" i="3"/>
  <c r="B38" i="3"/>
  <c r="A38" i="3"/>
  <c r="N37" i="3"/>
  <c r="K37" i="3"/>
  <c r="J37" i="3"/>
  <c r="F37" i="3"/>
  <c r="E37" i="3"/>
  <c r="C37" i="3"/>
  <c r="B37" i="3"/>
  <c r="A37" i="3"/>
  <c r="N36" i="3"/>
  <c r="K36" i="3"/>
  <c r="J36" i="3"/>
  <c r="F36" i="3"/>
  <c r="E36" i="3"/>
  <c r="D36" i="3"/>
  <c r="C36" i="3"/>
  <c r="B36" i="3"/>
  <c r="A36" i="3"/>
  <c r="N35" i="3"/>
  <c r="K35" i="3"/>
  <c r="J35" i="3"/>
  <c r="F35" i="3"/>
  <c r="E35" i="3"/>
  <c r="D35" i="3"/>
  <c r="C35" i="3"/>
  <c r="B35" i="3"/>
  <c r="A35" i="3"/>
  <c r="N34" i="3"/>
  <c r="K34" i="3"/>
  <c r="H34" i="3"/>
  <c r="F34" i="3"/>
  <c r="E34" i="3"/>
  <c r="D34" i="3"/>
  <c r="C34" i="3"/>
  <c r="B34" i="3"/>
  <c r="A34" i="3"/>
  <c r="N33" i="3"/>
  <c r="K33" i="3"/>
  <c r="J33" i="3"/>
  <c r="I33" i="3"/>
  <c r="F33" i="3"/>
  <c r="E33" i="3"/>
  <c r="D33" i="3"/>
  <c r="C33" i="3"/>
  <c r="B33" i="3"/>
  <c r="A33" i="3"/>
  <c r="N32" i="3"/>
  <c r="K32" i="3"/>
  <c r="J32" i="3"/>
  <c r="F32" i="3"/>
  <c r="E32" i="3"/>
  <c r="C32" i="3"/>
  <c r="B32" i="3"/>
  <c r="A32" i="3"/>
  <c r="N31" i="3"/>
  <c r="K31" i="3"/>
  <c r="J31" i="3"/>
  <c r="F31" i="3"/>
  <c r="E31" i="3"/>
  <c r="C31" i="3"/>
  <c r="B31" i="3"/>
  <c r="A31" i="3"/>
  <c r="N30" i="3"/>
  <c r="K30" i="3"/>
  <c r="F30" i="3"/>
  <c r="E30" i="3"/>
  <c r="C30" i="3"/>
  <c r="B30" i="3"/>
  <c r="A30" i="3"/>
  <c r="N29" i="3"/>
  <c r="K29" i="3"/>
  <c r="J29" i="3"/>
  <c r="F29" i="3"/>
  <c r="E29" i="3"/>
  <c r="C29" i="3"/>
  <c r="B29" i="3"/>
  <c r="A29" i="3"/>
  <c r="N28" i="3"/>
  <c r="K28" i="3"/>
  <c r="J28" i="3"/>
  <c r="F28" i="3"/>
  <c r="E28" i="3"/>
  <c r="C28" i="3"/>
  <c r="B28" i="3"/>
  <c r="A28" i="3"/>
  <c r="N27" i="3"/>
  <c r="K27" i="3"/>
  <c r="J27" i="3"/>
  <c r="F27" i="3"/>
  <c r="E27" i="3"/>
  <c r="C27" i="3"/>
  <c r="B27" i="3"/>
  <c r="A27" i="3"/>
  <c r="N26" i="3"/>
  <c r="K26" i="3"/>
  <c r="J26" i="3"/>
  <c r="F26" i="3"/>
  <c r="E26" i="3"/>
  <c r="D26" i="3"/>
  <c r="C26" i="3"/>
  <c r="B26" i="3"/>
  <c r="A26" i="3"/>
  <c r="N25" i="3"/>
  <c r="K25" i="3"/>
  <c r="J25" i="3"/>
  <c r="F25" i="3"/>
  <c r="E25" i="3"/>
  <c r="C25" i="3"/>
  <c r="B25" i="3"/>
  <c r="A25" i="3"/>
  <c r="N24" i="3"/>
  <c r="K24" i="3"/>
  <c r="F24" i="3"/>
  <c r="E24" i="3"/>
  <c r="D24" i="3"/>
  <c r="C24" i="3"/>
  <c r="B24" i="3"/>
  <c r="A24" i="3"/>
  <c r="N23" i="3"/>
  <c r="K23" i="3"/>
  <c r="J23" i="3"/>
  <c r="F23" i="3"/>
  <c r="E23" i="3"/>
  <c r="C23" i="3"/>
  <c r="B23" i="3"/>
  <c r="A23" i="3"/>
  <c r="N22" i="3"/>
  <c r="K22" i="3"/>
  <c r="H22" i="3"/>
  <c r="F22" i="3"/>
  <c r="E22" i="3"/>
  <c r="D22" i="3"/>
  <c r="C22" i="3"/>
  <c r="B22" i="3"/>
  <c r="A22" i="3"/>
  <c r="N21" i="3"/>
  <c r="K21" i="3"/>
  <c r="F21" i="3"/>
  <c r="E21" i="3"/>
  <c r="D21" i="3"/>
  <c r="C21" i="3"/>
  <c r="B21" i="3"/>
  <c r="A21" i="3"/>
  <c r="N20" i="3"/>
  <c r="K20" i="3"/>
  <c r="H20" i="3"/>
  <c r="F20" i="3"/>
  <c r="E20" i="3"/>
  <c r="D20" i="3"/>
  <c r="C20" i="3"/>
  <c r="B20" i="3"/>
  <c r="A20" i="3"/>
  <c r="N19" i="3"/>
  <c r="K19" i="3"/>
  <c r="H19" i="3"/>
  <c r="F19" i="3"/>
  <c r="E19" i="3"/>
  <c r="D19" i="3"/>
  <c r="C19" i="3"/>
  <c r="B19" i="3"/>
  <c r="A19" i="3"/>
  <c r="N18" i="3"/>
  <c r="K18" i="3"/>
  <c r="H18" i="3"/>
  <c r="F18" i="3"/>
  <c r="E18" i="3"/>
  <c r="D18" i="3"/>
  <c r="C18" i="3"/>
  <c r="B18" i="3"/>
  <c r="A18" i="3"/>
  <c r="N17" i="3"/>
  <c r="K17" i="3"/>
  <c r="I17" i="3"/>
  <c r="F17" i="3"/>
  <c r="E17" i="3"/>
  <c r="D17" i="3"/>
  <c r="C17" i="3"/>
  <c r="B17" i="3"/>
  <c r="A17" i="3"/>
  <c r="N16" i="3"/>
  <c r="K16" i="3"/>
  <c r="I16" i="3"/>
  <c r="F16" i="3"/>
  <c r="E16" i="3"/>
  <c r="D16" i="3"/>
  <c r="C16" i="3"/>
  <c r="B16" i="3"/>
  <c r="A16" i="3"/>
  <c r="N15" i="3"/>
  <c r="L15" i="3"/>
  <c r="I15" i="3"/>
  <c r="F15" i="3"/>
  <c r="E15" i="3"/>
  <c r="D15" i="3"/>
  <c r="C15" i="3"/>
  <c r="B15" i="3"/>
  <c r="A15" i="3"/>
  <c r="N14" i="3"/>
  <c r="K14" i="3"/>
  <c r="J14" i="3"/>
  <c r="F14" i="3"/>
  <c r="E14" i="3"/>
  <c r="C14" i="3"/>
  <c r="B14" i="3"/>
  <c r="A14" i="3"/>
  <c r="N13" i="3"/>
  <c r="K13" i="3"/>
  <c r="F13" i="3"/>
  <c r="E13" i="3"/>
  <c r="C13" i="3"/>
  <c r="B13" i="3"/>
  <c r="A13" i="3"/>
  <c r="N12" i="3"/>
  <c r="K12" i="3"/>
  <c r="J12" i="3"/>
  <c r="H12" i="3"/>
  <c r="F12" i="3"/>
  <c r="E12" i="3"/>
  <c r="C12" i="3"/>
  <c r="B12" i="3"/>
  <c r="A12" i="3"/>
  <c r="N11" i="3"/>
  <c r="K11" i="3"/>
  <c r="J11" i="3"/>
  <c r="G11" i="3"/>
  <c r="F11" i="3"/>
  <c r="E11" i="3"/>
  <c r="C11" i="3"/>
  <c r="B11" i="3"/>
  <c r="A11" i="3"/>
  <c r="N10" i="3"/>
  <c r="K10" i="3"/>
  <c r="J10" i="3"/>
  <c r="F10" i="3"/>
  <c r="E10" i="3"/>
  <c r="C10" i="3"/>
  <c r="B10" i="3"/>
  <c r="A10" i="3"/>
  <c r="N9" i="3"/>
  <c r="K9" i="3"/>
  <c r="F9" i="3"/>
  <c r="E9" i="3"/>
  <c r="C9" i="3"/>
  <c r="B9" i="3"/>
  <c r="A9" i="3"/>
  <c r="N8" i="3"/>
  <c r="K8" i="3"/>
  <c r="J8" i="3"/>
  <c r="F8" i="3"/>
  <c r="E8" i="3"/>
  <c r="C8" i="3"/>
  <c r="B8" i="3"/>
  <c r="A8" i="3"/>
  <c r="N7" i="3"/>
  <c r="K7" i="3"/>
  <c r="J7" i="3"/>
  <c r="F7" i="3"/>
  <c r="E7" i="3"/>
  <c r="C7" i="3"/>
  <c r="B7" i="3"/>
  <c r="A7" i="3"/>
  <c r="N6" i="3"/>
  <c r="K6" i="3"/>
  <c r="J6" i="3"/>
  <c r="G6" i="3"/>
  <c r="F6" i="3"/>
  <c r="E6" i="3"/>
  <c r="C6" i="3"/>
  <c r="B6" i="3"/>
  <c r="A6" i="3"/>
  <c r="N5" i="3"/>
  <c r="K5" i="3"/>
  <c r="J5" i="3"/>
  <c r="F5" i="3"/>
  <c r="E5" i="3"/>
  <c r="C5" i="3"/>
  <c r="B5" i="3"/>
  <c r="A5" i="3"/>
  <c r="N4" i="3"/>
  <c r="F4" i="3"/>
  <c r="E4" i="3"/>
  <c r="C4" i="3"/>
  <c r="B4" i="3"/>
  <c r="A4" i="3"/>
  <c r="N3" i="3"/>
  <c r="K3" i="3"/>
  <c r="F3" i="3"/>
  <c r="E3" i="3"/>
  <c r="C3" i="3"/>
  <c r="B3" i="3"/>
  <c r="A3" i="3"/>
  <c r="N1085" i="2"/>
  <c r="N1084" i="2"/>
  <c r="N1083" i="2"/>
  <c r="N1082" i="2"/>
  <c r="N1081" i="2"/>
  <c r="N1080" i="2"/>
  <c r="N1079" i="2"/>
  <c r="N1078" i="2"/>
  <c r="N1077" i="2"/>
  <c r="N1076" i="2"/>
  <c r="N1075" i="2"/>
  <c r="N1074" i="2"/>
  <c r="N1073" i="2"/>
  <c r="N1072" i="2"/>
  <c r="N1071" i="2"/>
  <c r="N1070" i="2"/>
  <c r="N1069" i="2"/>
  <c r="N1068" i="2"/>
  <c r="N1067" i="2"/>
  <c r="N1066" i="2"/>
  <c r="N1065" i="2"/>
  <c r="N1064" i="2"/>
  <c r="N1063" i="2"/>
  <c r="N1062" i="2"/>
  <c r="N1061" i="2"/>
  <c r="N1060" i="2"/>
  <c r="N1059" i="2"/>
  <c r="N1058" i="2"/>
  <c r="N1057" i="2"/>
  <c r="N1056" i="2"/>
  <c r="N1055" i="2"/>
  <c r="K1055" i="2"/>
  <c r="E1055" i="2"/>
  <c r="C1055" i="2"/>
  <c r="N1054" i="2"/>
  <c r="M1054" i="2"/>
  <c r="E1054" i="2"/>
  <c r="C1054" i="2"/>
  <c r="N1053" i="2"/>
  <c r="M1053" i="2"/>
  <c r="K1053" i="2"/>
  <c r="E1053" i="2"/>
  <c r="C1053" i="2"/>
  <c r="N1052" i="2"/>
  <c r="M1052" i="2"/>
  <c r="E1052" i="2"/>
  <c r="C1052" i="2"/>
  <c r="N1051" i="2"/>
  <c r="M1051" i="2"/>
  <c r="E1051" i="2"/>
  <c r="C1051" i="2"/>
  <c r="N1050" i="2"/>
  <c r="M1050" i="2"/>
  <c r="E1050" i="2"/>
  <c r="C1050" i="2"/>
  <c r="N1049" i="2"/>
  <c r="M1049" i="2"/>
  <c r="E1049" i="2"/>
  <c r="C1049" i="2"/>
  <c r="N1048" i="2"/>
  <c r="M1048" i="2"/>
  <c r="E1048" i="2"/>
  <c r="C1048" i="2"/>
  <c r="N1047" i="2"/>
  <c r="M1047" i="2"/>
  <c r="E1047" i="2"/>
  <c r="C1047" i="2"/>
  <c r="N1046" i="2"/>
  <c r="M1046" i="2"/>
  <c r="E1046" i="2"/>
  <c r="C1046" i="2"/>
  <c r="N1045" i="2"/>
  <c r="M1045" i="2"/>
  <c r="E1045" i="2"/>
  <c r="C1045" i="2"/>
  <c r="N1044" i="2"/>
  <c r="M1044" i="2"/>
  <c r="E1044" i="2"/>
  <c r="C1044" i="2"/>
  <c r="N1043" i="2"/>
  <c r="M1043" i="2"/>
  <c r="K1043" i="2"/>
  <c r="E1043" i="2"/>
  <c r="C1043" i="2"/>
  <c r="N1042" i="2"/>
  <c r="M1042" i="2"/>
  <c r="E1042" i="2"/>
  <c r="C1042" i="2"/>
  <c r="N1041" i="2"/>
  <c r="M1041" i="2"/>
  <c r="E1041" i="2"/>
  <c r="C1041" i="2"/>
  <c r="N1040" i="2"/>
  <c r="M1040" i="2"/>
  <c r="E1040" i="2"/>
  <c r="C1040" i="2"/>
  <c r="N1039" i="2"/>
  <c r="M1039" i="2"/>
  <c r="E1039" i="2"/>
  <c r="C1039" i="2"/>
  <c r="N1038" i="2"/>
  <c r="M1038" i="2"/>
  <c r="E1038" i="2"/>
  <c r="C1038" i="2"/>
  <c r="N1037" i="2"/>
  <c r="M1037" i="2"/>
  <c r="E1037" i="2"/>
  <c r="C1037" i="2"/>
  <c r="N1036" i="2"/>
  <c r="M1036" i="2"/>
  <c r="E1036" i="2"/>
  <c r="C1036" i="2"/>
  <c r="N1035" i="2"/>
  <c r="M1035" i="2"/>
  <c r="E1035" i="2"/>
  <c r="C1035" i="2"/>
  <c r="N1034" i="2"/>
  <c r="M1034" i="2"/>
  <c r="E1034" i="2"/>
  <c r="C1034" i="2"/>
  <c r="N1033" i="2"/>
  <c r="M1033" i="2"/>
  <c r="E1033" i="2"/>
  <c r="C1033" i="2"/>
  <c r="N1032" i="2"/>
  <c r="M1032" i="2"/>
  <c r="E1032" i="2"/>
  <c r="C1032" i="2"/>
  <c r="N1031" i="2"/>
  <c r="M1031" i="2"/>
  <c r="E1031" i="2"/>
  <c r="C1031" i="2"/>
  <c r="N1030" i="2"/>
  <c r="M1030" i="2"/>
  <c r="E1030" i="2"/>
  <c r="C1030" i="2"/>
  <c r="N1029" i="2"/>
  <c r="M1029" i="2"/>
  <c r="E1029" i="2"/>
  <c r="C1029" i="2"/>
  <c r="N1028" i="2"/>
  <c r="M1028" i="2"/>
  <c r="E1028" i="2"/>
  <c r="C1028" i="2"/>
  <c r="N1027" i="2"/>
  <c r="M1027" i="2"/>
  <c r="E1027" i="2"/>
  <c r="C1027" i="2"/>
  <c r="N1026" i="2"/>
  <c r="M1026" i="2"/>
  <c r="E1026" i="2"/>
  <c r="C1026" i="2"/>
  <c r="N1025" i="2"/>
  <c r="M1025" i="2"/>
  <c r="E1025" i="2"/>
  <c r="C1025" i="2"/>
  <c r="N1024" i="2"/>
  <c r="M1024" i="2"/>
  <c r="E1024" i="2"/>
  <c r="C1024" i="2"/>
  <c r="N1023" i="2"/>
  <c r="M1023" i="2"/>
  <c r="E1023" i="2"/>
  <c r="C1023" i="2"/>
  <c r="N1022" i="2"/>
  <c r="M1022" i="2"/>
  <c r="E1022" i="2"/>
  <c r="C1022" i="2"/>
  <c r="N1021" i="2"/>
  <c r="M1021" i="2"/>
  <c r="K1021" i="2"/>
  <c r="E1021" i="2"/>
  <c r="C1021" i="2"/>
  <c r="N1020" i="2"/>
  <c r="M1020" i="2"/>
  <c r="K1020" i="2"/>
  <c r="E1020" i="2"/>
  <c r="C1020" i="2"/>
  <c r="N1019" i="2"/>
  <c r="M1019" i="2"/>
  <c r="E1019" i="2"/>
  <c r="C1019" i="2"/>
  <c r="N1018" i="2"/>
  <c r="M1018" i="2"/>
  <c r="L1018" i="2"/>
  <c r="K1018" i="2"/>
  <c r="E1018" i="2"/>
  <c r="C1018" i="2"/>
  <c r="N1017" i="2"/>
  <c r="M1017" i="2"/>
  <c r="K1017" i="2"/>
  <c r="E1017" i="2"/>
  <c r="C1017" i="2"/>
  <c r="N1016" i="2"/>
  <c r="M1016" i="2"/>
  <c r="E1016" i="2"/>
  <c r="C1016" i="2"/>
  <c r="N1015" i="2"/>
  <c r="M1015" i="2"/>
  <c r="E1015" i="2"/>
  <c r="C1015" i="2"/>
  <c r="N1014" i="2"/>
  <c r="M1014" i="2"/>
  <c r="E1014" i="2"/>
  <c r="C1014" i="2"/>
  <c r="N1013" i="2"/>
  <c r="M1013" i="2"/>
  <c r="E1013" i="2"/>
  <c r="C1013" i="2"/>
  <c r="N1012" i="2"/>
  <c r="M1012" i="2"/>
  <c r="E1012" i="2"/>
  <c r="C1012" i="2"/>
  <c r="N1011" i="2"/>
  <c r="M1011" i="2"/>
  <c r="E1011" i="2"/>
  <c r="C1011" i="2"/>
  <c r="N1010" i="2"/>
  <c r="M1010" i="2"/>
  <c r="E1010" i="2"/>
  <c r="C1010" i="2"/>
  <c r="N1009" i="2"/>
  <c r="M1009" i="2"/>
  <c r="K1009" i="2"/>
  <c r="E1009" i="2"/>
  <c r="C1009" i="2"/>
  <c r="N1008" i="2"/>
  <c r="M1008" i="2"/>
  <c r="E1008" i="2"/>
  <c r="C1008" i="2"/>
  <c r="N1007" i="2"/>
  <c r="M1007" i="2"/>
  <c r="K1007" i="2"/>
  <c r="E1007" i="2"/>
  <c r="C1007" i="2"/>
  <c r="N1006" i="2"/>
  <c r="M1006" i="2"/>
  <c r="K1006" i="2"/>
  <c r="E1006" i="2"/>
  <c r="C1006" i="2"/>
  <c r="N1005" i="2"/>
  <c r="M1005" i="2"/>
  <c r="K1005" i="2"/>
  <c r="E1005" i="2"/>
  <c r="C1005" i="2"/>
  <c r="N1004" i="2"/>
  <c r="M1004" i="2"/>
  <c r="K1004" i="2"/>
  <c r="E1004" i="2"/>
  <c r="C1004" i="2"/>
  <c r="N1003" i="2"/>
  <c r="K1003" i="2"/>
  <c r="F1003" i="2"/>
  <c r="E1003" i="2"/>
  <c r="C1003" i="2"/>
  <c r="N1002" i="2"/>
  <c r="K1002" i="2"/>
  <c r="F1002" i="2"/>
  <c r="E1002" i="2"/>
  <c r="C1002" i="2"/>
  <c r="N1001" i="2"/>
  <c r="M1001" i="2"/>
  <c r="K1001" i="2"/>
  <c r="F1001" i="2"/>
  <c r="E1001" i="2"/>
  <c r="C1001" i="2"/>
  <c r="N1000" i="2"/>
  <c r="M1000" i="2"/>
  <c r="K1000" i="2"/>
  <c r="F1000" i="2"/>
  <c r="E1000" i="2"/>
  <c r="C1000" i="2"/>
  <c r="N999" i="2"/>
  <c r="M999" i="2"/>
  <c r="K999" i="2"/>
  <c r="F999" i="2"/>
  <c r="E999" i="2"/>
  <c r="C999" i="2"/>
  <c r="N998" i="2"/>
  <c r="M998" i="2"/>
  <c r="K998" i="2"/>
  <c r="F998" i="2"/>
  <c r="E998" i="2"/>
  <c r="C998" i="2"/>
  <c r="N997" i="2"/>
  <c r="M997" i="2"/>
  <c r="L997" i="2"/>
  <c r="K997" i="2"/>
  <c r="F997" i="2"/>
  <c r="E997" i="2"/>
  <c r="C997" i="2"/>
  <c r="N996" i="2"/>
  <c r="M996" i="2"/>
  <c r="K996" i="2"/>
  <c r="F996" i="2"/>
  <c r="E996" i="2"/>
  <c r="C996" i="2"/>
  <c r="N995" i="2"/>
  <c r="M995" i="2"/>
  <c r="K995" i="2"/>
  <c r="F995" i="2"/>
  <c r="E995" i="2"/>
  <c r="C995" i="2"/>
  <c r="N994" i="2"/>
  <c r="M994" i="2"/>
  <c r="K994" i="2"/>
  <c r="F994" i="2"/>
  <c r="E994" i="2"/>
  <c r="C994" i="2"/>
  <c r="N993" i="2"/>
  <c r="M993" i="2"/>
  <c r="F993" i="2"/>
  <c r="E993" i="2"/>
  <c r="C993" i="2"/>
  <c r="N992" i="2"/>
  <c r="M992" i="2"/>
  <c r="F992" i="2"/>
  <c r="E992" i="2"/>
  <c r="C992" i="2"/>
  <c r="N991" i="2"/>
  <c r="K991" i="2"/>
  <c r="E991" i="2"/>
  <c r="C991" i="2"/>
  <c r="N990" i="2"/>
  <c r="K990" i="2"/>
  <c r="E990" i="2"/>
  <c r="C990" i="2"/>
  <c r="N989" i="2"/>
  <c r="K989" i="2"/>
  <c r="E989" i="2"/>
  <c r="C989" i="2"/>
  <c r="N988" i="2"/>
  <c r="K988" i="2"/>
  <c r="E988" i="2"/>
  <c r="C988" i="2"/>
  <c r="N987" i="2"/>
  <c r="K987" i="2"/>
  <c r="E987" i="2"/>
  <c r="C987" i="2"/>
  <c r="N986" i="2"/>
  <c r="K986" i="2"/>
  <c r="E986" i="2"/>
  <c r="C986" i="2"/>
  <c r="N985" i="2"/>
  <c r="K985" i="2"/>
  <c r="E985" i="2"/>
  <c r="C985" i="2"/>
  <c r="N984" i="2"/>
  <c r="K984" i="2"/>
  <c r="E984" i="2"/>
  <c r="C984" i="2"/>
  <c r="N983" i="2"/>
  <c r="M983" i="2"/>
  <c r="K983" i="2"/>
  <c r="E983" i="2"/>
  <c r="C983" i="2"/>
  <c r="N982" i="2"/>
  <c r="L982" i="2"/>
  <c r="K982" i="2"/>
  <c r="E982" i="2"/>
  <c r="C982" i="2"/>
  <c r="N981" i="2"/>
  <c r="M981" i="2"/>
  <c r="K981" i="2"/>
  <c r="E981" i="2"/>
  <c r="C981" i="2"/>
  <c r="N980" i="2"/>
  <c r="K980" i="2"/>
  <c r="E980" i="2"/>
  <c r="C980" i="2"/>
  <c r="N979" i="2"/>
  <c r="K979" i="2"/>
  <c r="E979" i="2"/>
  <c r="C979" i="2"/>
  <c r="N978" i="2"/>
  <c r="K978" i="2"/>
  <c r="E978" i="2"/>
  <c r="C978" i="2"/>
  <c r="N977" i="2"/>
  <c r="L977" i="2"/>
  <c r="K977" i="2"/>
  <c r="E977" i="2"/>
  <c r="C977" i="2"/>
  <c r="N976" i="2"/>
  <c r="K976" i="2"/>
  <c r="E976" i="2"/>
  <c r="C976" i="2"/>
  <c r="N975" i="2"/>
  <c r="K975" i="2"/>
  <c r="E975" i="2"/>
  <c r="C975" i="2"/>
  <c r="N974" i="2"/>
  <c r="E974" i="2"/>
  <c r="C974" i="2"/>
  <c r="N973" i="2"/>
  <c r="K973" i="2"/>
  <c r="E973" i="2"/>
  <c r="C973" i="2"/>
  <c r="N972" i="2"/>
  <c r="K972" i="2"/>
  <c r="E972" i="2"/>
  <c r="C972" i="2"/>
  <c r="N971" i="2"/>
  <c r="M971" i="2"/>
  <c r="K971" i="2"/>
  <c r="E971" i="2"/>
  <c r="C971" i="2"/>
  <c r="N970" i="2"/>
  <c r="K970" i="2"/>
  <c r="E970" i="2"/>
  <c r="C970" i="2"/>
  <c r="N969" i="2"/>
  <c r="K969" i="2"/>
  <c r="E969" i="2"/>
  <c r="C969" i="2"/>
  <c r="N968" i="2"/>
  <c r="K968" i="2"/>
  <c r="E968" i="2"/>
  <c r="C968" i="2"/>
  <c r="N967" i="2"/>
  <c r="K967" i="2"/>
  <c r="E967" i="2"/>
  <c r="C967" i="2"/>
  <c r="N966" i="2"/>
  <c r="M966" i="2"/>
  <c r="K966" i="2"/>
  <c r="E966" i="2"/>
  <c r="C966" i="2"/>
  <c r="N965" i="2"/>
  <c r="K965" i="2"/>
  <c r="E965" i="2"/>
  <c r="C965" i="2"/>
  <c r="N964" i="2"/>
  <c r="L964" i="2"/>
  <c r="E964" i="2"/>
  <c r="C964" i="2"/>
  <c r="N963" i="2"/>
  <c r="M963" i="2"/>
  <c r="K963" i="2"/>
  <c r="E963" i="2"/>
  <c r="C963" i="2"/>
  <c r="N962" i="2"/>
  <c r="K962" i="2"/>
  <c r="E962" i="2"/>
  <c r="C962" i="2"/>
  <c r="N961" i="2"/>
  <c r="E961" i="2"/>
  <c r="C961" i="2"/>
  <c r="N960" i="2"/>
  <c r="K960" i="2"/>
  <c r="E960" i="2"/>
  <c r="C960" i="2"/>
  <c r="N959" i="2"/>
  <c r="K959" i="2"/>
  <c r="E959" i="2"/>
  <c r="C959" i="2"/>
  <c r="N958" i="2"/>
  <c r="K958" i="2"/>
  <c r="E958" i="2"/>
  <c r="C958" i="2"/>
  <c r="N957" i="2"/>
  <c r="K957" i="2"/>
  <c r="E957" i="2"/>
  <c r="C957" i="2"/>
  <c r="N956" i="2"/>
  <c r="K956" i="2"/>
  <c r="E956" i="2"/>
  <c r="C956" i="2"/>
  <c r="N955" i="2"/>
  <c r="K955" i="2"/>
  <c r="E955" i="2"/>
  <c r="C955" i="2"/>
  <c r="N954" i="2"/>
  <c r="K954" i="2"/>
  <c r="E954" i="2"/>
  <c r="C954" i="2"/>
  <c r="N953" i="2"/>
  <c r="M953" i="2"/>
  <c r="K953" i="2"/>
  <c r="E953" i="2"/>
  <c r="C953" i="2"/>
  <c r="N952" i="2"/>
  <c r="K952" i="2"/>
  <c r="E952" i="2"/>
  <c r="C952" i="2"/>
  <c r="N951" i="2"/>
  <c r="K951" i="2"/>
  <c r="E951" i="2"/>
  <c r="C951" i="2"/>
  <c r="N950" i="2"/>
  <c r="M950" i="2"/>
  <c r="K950" i="2"/>
  <c r="E950" i="2"/>
  <c r="C950" i="2"/>
  <c r="N949" i="2"/>
  <c r="K949" i="2"/>
  <c r="E949" i="2"/>
  <c r="C949" i="2"/>
  <c r="N948" i="2"/>
  <c r="K948" i="2"/>
  <c r="E948" i="2"/>
  <c r="C948" i="2"/>
  <c r="N947" i="2"/>
  <c r="K947" i="2"/>
  <c r="E947" i="2"/>
  <c r="C947" i="2"/>
  <c r="N946" i="2"/>
  <c r="L946" i="2"/>
  <c r="K946" i="2"/>
  <c r="E946" i="2"/>
  <c r="C946" i="2"/>
  <c r="N945" i="2"/>
  <c r="E945" i="2"/>
  <c r="C945" i="2"/>
  <c r="N944" i="2"/>
  <c r="K944" i="2"/>
  <c r="E944" i="2"/>
  <c r="C944" i="2"/>
  <c r="N943" i="2"/>
  <c r="K943" i="2"/>
  <c r="E943" i="2"/>
  <c r="C943" i="2"/>
  <c r="N942" i="2"/>
  <c r="K942" i="2"/>
  <c r="E942" i="2"/>
  <c r="C942" i="2"/>
  <c r="N941" i="2"/>
  <c r="K941" i="2"/>
  <c r="E941" i="2"/>
  <c r="C941" i="2"/>
  <c r="N940" i="2"/>
  <c r="K940" i="2"/>
  <c r="E940" i="2"/>
  <c r="C940" i="2"/>
  <c r="N939" i="2"/>
  <c r="M939" i="2"/>
  <c r="E939" i="2"/>
  <c r="C939" i="2"/>
  <c r="N938" i="2"/>
  <c r="K938" i="2"/>
  <c r="E938" i="2"/>
  <c r="C938" i="2"/>
  <c r="N937" i="2"/>
  <c r="K937" i="2"/>
  <c r="E937" i="2"/>
  <c r="C937" i="2"/>
  <c r="N936" i="2"/>
  <c r="M936" i="2"/>
  <c r="K936" i="2"/>
  <c r="E936" i="2"/>
  <c r="C936" i="2"/>
  <c r="N935" i="2"/>
  <c r="K935" i="2"/>
  <c r="E935" i="2"/>
  <c r="C935" i="2"/>
  <c r="N934" i="2"/>
  <c r="K934" i="2"/>
  <c r="E934" i="2"/>
  <c r="C934" i="2"/>
  <c r="N933" i="2"/>
  <c r="K933" i="2"/>
  <c r="E933" i="2"/>
  <c r="C933" i="2"/>
  <c r="N932" i="2"/>
  <c r="K932" i="2"/>
  <c r="E932" i="2"/>
  <c r="C932" i="2"/>
  <c r="N931" i="2"/>
  <c r="E931" i="2"/>
  <c r="C931" i="2"/>
  <c r="N930" i="2"/>
  <c r="K930" i="2"/>
  <c r="E930" i="2"/>
  <c r="C930" i="2"/>
  <c r="N929" i="2"/>
  <c r="K929" i="2"/>
  <c r="E929" i="2"/>
  <c r="C929" i="2"/>
  <c r="N928" i="2"/>
  <c r="K928" i="2"/>
  <c r="E928" i="2"/>
  <c r="C928" i="2"/>
  <c r="N927" i="2"/>
  <c r="K927" i="2"/>
  <c r="E927" i="2"/>
  <c r="C927" i="2"/>
  <c r="N926" i="2"/>
  <c r="M926" i="2"/>
  <c r="E926" i="2"/>
  <c r="C926" i="2"/>
  <c r="N925" i="2"/>
  <c r="K925" i="2"/>
  <c r="E925" i="2"/>
  <c r="C925" i="2"/>
  <c r="N924" i="2"/>
  <c r="M924" i="2"/>
  <c r="E924" i="2"/>
  <c r="C924" i="2"/>
  <c r="N923" i="2"/>
  <c r="K923" i="2"/>
  <c r="E923" i="2"/>
  <c r="C923" i="2"/>
  <c r="N922" i="2"/>
  <c r="K922" i="2"/>
  <c r="E922" i="2"/>
  <c r="C922" i="2"/>
  <c r="N921" i="2"/>
  <c r="K921" i="2"/>
  <c r="E921" i="2"/>
  <c r="C921" i="2"/>
  <c r="N920" i="2"/>
  <c r="M920" i="2"/>
  <c r="K920" i="2"/>
  <c r="E920" i="2"/>
  <c r="C920" i="2"/>
  <c r="N919" i="2"/>
  <c r="K919" i="2"/>
  <c r="E919" i="2"/>
  <c r="C919" i="2"/>
  <c r="N918" i="2"/>
  <c r="K918" i="2"/>
  <c r="E918" i="2"/>
  <c r="C918" i="2"/>
  <c r="N917" i="2"/>
  <c r="K917" i="2"/>
  <c r="E917" i="2"/>
  <c r="C917" i="2"/>
  <c r="N916" i="2"/>
  <c r="K916" i="2"/>
  <c r="E916" i="2"/>
  <c r="C916" i="2"/>
  <c r="N915" i="2"/>
  <c r="K915" i="2"/>
  <c r="E915" i="2"/>
  <c r="C915" i="2"/>
  <c r="N914" i="2"/>
  <c r="M914" i="2"/>
  <c r="K914" i="2"/>
  <c r="E914" i="2"/>
  <c r="C914" i="2"/>
  <c r="N913" i="2"/>
  <c r="K913" i="2"/>
  <c r="E913" i="2"/>
  <c r="C913" i="2"/>
  <c r="N912" i="2"/>
  <c r="K912" i="2"/>
  <c r="E912" i="2"/>
  <c r="C912" i="2"/>
  <c r="N911" i="2"/>
  <c r="K911" i="2"/>
  <c r="E911" i="2"/>
  <c r="C911" i="2"/>
  <c r="N910" i="2"/>
  <c r="M910" i="2"/>
  <c r="L910" i="2"/>
  <c r="K910" i="2"/>
  <c r="E910" i="2"/>
  <c r="C910" i="2"/>
  <c r="N909" i="2"/>
  <c r="K909" i="2"/>
  <c r="E909" i="2"/>
  <c r="C909" i="2"/>
  <c r="N908" i="2"/>
  <c r="K908" i="2"/>
  <c r="E908" i="2"/>
  <c r="C908" i="2"/>
  <c r="N907" i="2"/>
  <c r="K907" i="2"/>
  <c r="E907" i="2"/>
  <c r="C907" i="2"/>
  <c r="N906" i="2"/>
  <c r="E906" i="2"/>
  <c r="C906" i="2"/>
  <c r="N905" i="2"/>
  <c r="K905" i="2"/>
  <c r="E905" i="2"/>
  <c r="C905" i="2"/>
  <c r="N904" i="2"/>
  <c r="K904" i="2"/>
  <c r="E904" i="2"/>
  <c r="C904" i="2"/>
  <c r="N903" i="2"/>
  <c r="K903" i="2"/>
  <c r="E903" i="2"/>
  <c r="C903" i="2"/>
  <c r="N902" i="2"/>
  <c r="K902" i="2"/>
  <c r="E902" i="2"/>
  <c r="C902" i="2"/>
  <c r="N901" i="2"/>
  <c r="M901" i="2"/>
  <c r="E901" i="2"/>
  <c r="C901" i="2"/>
  <c r="N900" i="2"/>
  <c r="K900" i="2"/>
  <c r="E900" i="2"/>
  <c r="C900" i="2"/>
  <c r="N899" i="2"/>
  <c r="K899" i="2"/>
  <c r="E899" i="2"/>
  <c r="C899" i="2"/>
  <c r="N898" i="2"/>
  <c r="M898" i="2"/>
  <c r="K898" i="2"/>
  <c r="E898" i="2"/>
  <c r="C898" i="2"/>
  <c r="N897" i="2"/>
  <c r="K897" i="2"/>
  <c r="E897" i="2"/>
  <c r="C897" i="2"/>
  <c r="N896" i="2"/>
  <c r="K896" i="2"/>
  <c r="E896" i="2"/>
  <c r="C896" i="2"/>
  <c r="N895" i="2"/>
  <c r="K895" i="2"/>
  <c r="E895" i="2"/>
  <c r="C895" i="2"/>
  <c r="N894" i="2"/>
  <c r="K894" i="2"/>
  <c r="E894" i="2"/>
  <c r="C894" i="2"/>
  <c r="N893" i="2"/>
  <c r="K893" i="2"/>
  <c r="E893" i="2"/>
  <c r="C893" i="2"/>
  <c r="N892" i="2"/>
  <c r="M892" i="2"/>
  <c r="K892" i="2"/>
  <c r="E892" i="2"/>
  <c r="C892" i="2"/>
  <c r="N891" i="2"/>
  <c r="M891" i="2"/>
  <c r="K891" i="2"/>
  <c r="E891" i="2"/>
  <c r="C891" i="2"/>
  <c r="N890" i="2"/>
  <c r="M890" i="2"/>
  <c r="K890" i="2"/>
  <c r="E890" i="2"/>
  <c r="C890" i="2"/>
  <c r="N889" i="2"/>
  <c r="M889" i="2"/>
  <c r="K889" i="2"/>
  <c r="E889" i="2"/>
  <c r="C889" i="2"/>
  <c r="N888" i="2"/>
  <c r="K888" i="2"/>
  <c r="E888" i="2"/>
  <c r="C888" i="2"/>
  <c r="N887" i="2"/>
  <c r="M887" i="2"/>
  <c r="K887" i="2"/>
  <c r="E887" i="2"/>
  <c r="C887" i="2"/>
  <c r="N886" i="2"/>
  <c r="M886" i="2"/>
  <c r="K886" i="2"/>
  <c r="E886" i="2"/>
  <c r="C886" i="2"/>
  <c r="N885" i="2"/>
  <c r="M885" i="2"/>
  <c r="K885" i="2"/>
  <c r="E885" i="2"/>
  <c r="C885" i="2"/>
  <c r="N884" i="2"/>
  <c r="M884" i="2"/>
  <c r="K884" i="2"/>
  <c r="E884" i="2"/>
  <c r="C884" i="2"/>
  <c r="N883" i="2"/>
  <c r="M883" i="2"/>
  <c r="K883" i="2"/>
  <c r="E883" i="2"/>
  <c r="C883" i="2"/>
  <c r="N882" i="2"/>
  <c r="M882" i="2"/>
  <c r="K882" i="2"/>
  <c r="E882" i="2"/>
  <c r="C882" i="2"/>
  <c r="N881" i="2"/>
  <c r="M881" i="2"/>
  <c r="K881" i="2"/>
  <c r="E881" i="2"/>
  <c r="C881" i="2"/>
  <c r="N880" i="2"/>
  <c r="M880" i="2"/>
  <c r="K880" i="2"/>
  <c r="E880" i="2"/>
  <c r="C880" i="2"/>
  <c r="N879" i="2"/>
  <c r="M879" i="2"/>
  <c r="L879" i="2"/>
  <c r="K879" i="2"/>
  <c r="E879" i="2"/>
  <c r="C879" i="2"/>
  <c r="N878" i="2"/>
  <c r="M878" i="2"/>
  <c r="K878" i="2"/>
  <c r="E878" i="2"/>
  <c r="C878" i="2"/>
  <c r="N877" i="2"/>
  <c r="M877" i="2"/>
  <c r="K877" i="2"/>
  <c r="E877" i="2"/>
  <c r="C877" i="2"/>
  <c r="N876" i="2"/>
  <c r="M876" i="2"/>
  <c r="E876" i="2"/>
  <c r="C876" i="2"/>
  <c r="N875" i="2"/>
  <c r="M875" i="2"/>
  <c r="E875" i="2"/>
  <c r="C875" i="2"/>
  <c r="N874" i="2"/>
  <c r="K874" i="2"/>
  <c r="E874" i="2"/>
  <c r="C874" i="2"/>
  <c r="N873" i="2"/>
  <c r="E873" i="2"/>
  <c r="C873" i="2"/>
  <c r="N872" i="2"/>
  <c r="L872" i="2"/>
  <c r="K872" i="2"/>
  <c r="E872" i="2"/>
  <c r="C872" i="2"/>
  <c r="N871" i="2"/>
  <c r="K871" i="2"/>
  <c r="E871" i="2"/>
  <c r="C871" i="2"/>
  <c r="N870" i="2"/>
  <c r="K870" i="2"/>
  <c r="E870" i="2"/>
  <c r="C870" i="2"/>
  <c r="N869" i="2"/>
  <c r="E869" i="2"/>
  <c r="C869" i="2"/>
  <c r="N868" i="2"/>
  <c r="K868" i="2"/>
  <c r="E868" i="2"/>
  <c r="C868" i="2"/>
  <c r="N867" i="2"/>
  <c r="K867" i="2"/>
  <c r="E867" i="2"/>
  <c r="C867" i="2"/>
  <c r="N866" i="2"/>
  <c r="M866" i="2"/>
  <c r="K866" i="2"/>
  <c r="E866" i="2"/>
  <c r="C866" i="2"/>
  <c r="N865" i="2"/>
  <c r="M865" i="2"/>
  <c r="K865" i="2"/>
  <c r="E865" i="2"/>
  <c r="C865" i="2"/>
  <c r="N864" i="2"/>
  <c r="K864" i="2"/>
  <c r="E864" i="2"/>
  <c r="C864" i="2"/>
  <c r="N863" i="2"/>
  <c r="K863" i="2"/>
  <c r="E863" i="2"/>
  <c r="C863" i="2"/>
  <c r="N862" i="2"/>
  <c r="K862" i="2"/>
  <c r="E862" i="2"/>
  <c r="C862" i="2"/>
  <c r="N861" i="2"/>
  <c r="M861" i="2"/>
  <c r="K861" i="2"/>
  <c r="E861" i="2"/>
  <c r="C861" i="2"/>
  <c r="N860" i="2"/>
  <c r="K860" i="2"/>
  <c r="E860" i="2"/>
  <c r="C860" i="2"/>
  <c r="N859" i="2"/>
  <c r="M859" i="2"/>
  <c r="K859" i="2"/>
  <c r="E859" i="2"/>
  <c r="C859" i="2"/>
  <c r="N858" i="2"/>
  <c r="K858" i="2"/>
  <c r="E858" i="2"/>
  <c r="C858" i="2"/>
  <c r="N857" i="2"/>
  <c r="K857" i="2"/>
  <c r="E857" i="2"/>
  <c r="C857" i="2"/>
  <c r="N856" i="2"/>
  <c r="L856" i="2"/>
  <c r="K856" i="2"/>
  <c r="E856" i="2"/>
  <c r="C856" i="2"/>
  <c r="N855" i="2"/>
  <c r="L855" i="2"/>
  <c r="K855" i="2"/>
  <c r="E855" i="2"/>
  <c r="C855" i="2"/>
  <c r="N854" i="2"/>
  <c r="L854" i="2"/>
  <c r="K854" i="2"/>
  <c r="E854" i="2"/>
  <c r="C854" i="2"/>
  <c r="N853" i="2"/>
  <c r="M853" i="2"/>
  <c r="K853" i="2"/>
  <c r="E853" i="2"/>
  <c r="C853" i="2"/>
  <c r="N852" i="2"/>
  <c r="K852" i="2"/>
  <c r="E852" i="2"/>
  <c r="C852" i="2"/>
  <c r="N851" i="2"/>
  <c r="M851" i="2"/>
  <c r="K851" i="2"/>
  <c r="E851" i="2"/>
  <c r="C851" i="2"/>
  <c r="N850" i="2"/>
  <c r="M850" i="2"/>
  <c r="E850" i="2"/>
  <c r="C850" i="2"/>
  <c r="N849" i="2"/>
  <c r="K849" i="2"/>
  <c r="E849" i="2"/>
  <c r="C849" i="2"/>
  <c r="N848" i="2"/>
  <c r="L848" i="2"/>
  <c r="K848" i="2"/>
  <c r="E848" i="2"/>
  <c r="C848" i="2"/>
  <c r="N847" i="2"/>
  <c r="L847" i="2"/>
  <c r="K847" i="2"/>
  <c r="E847" i="2"/>
  <c r="C847" i="2"/>
  <c r="N846" i="2"/>
  <c r="K846" i="2"/>
  <c r="E846" i="2"/>
  <c r="C846" i="2"/>
  <c r="N845" i="2"/>
  <c r="K845" i="2"/>
  <c r="E845" i="2"/>
  <c r="C845" i="2"/>
  <c r="N844" i="2"/>
  <c r="M844" i="2"/>
  <c r="K844" i="2"/>
  <c r="F844" i="2"/>
  <c r="E844" i="2"/>
  <c r="C844" i="2"/>
  <c r="N843" i="2"/>
  <c r="K843" i="2"/>
  <c r="F843" i="2"/>
  <c r="E843" i="2"/>
  <c r="C843" i="2"/>
  <c r="N842" i="2"/>
  <c r="M842" i="2"/>
  <c r="K842" i="2"/>
  <c r="F842" i="2"/>
  <c r="E842" i="2"/>
  <c r="C842" i="2"/>
  <c r="N841" i="2"/>
  <c r="M841" i="2"/>
  <c r="K841" i="2"/>
  <c r="F841" i="2"/>
  <c r="E841" i="2"/>
  <c r="C841" i="2"/>
  <c r="N840" i="2"/>
  <c r="M840" i="2"/>
  <c r="F840" i="2"/>
  <c r="E840" i="2"/>
  <c r="C840" i="2"/>
  <c r="N839" i="2"/>
  <c r="M839" i="2"/>
  <c r="K839" i="2"/>
  <c r="F839" i="2"/>
  <c r="E839" i="2"/>
  <c r="C839" i="2"/>
  <c r="N838" i="2"/>
  <c r="M838" i="2"/>
  <c r="K838" i="2"/>
  <c r="F838" i="2"/>
  <c r="E838" i="2"/>
  <c r="C838" i="2"/>
  <c r="N837" i="2"/>
  <c r="K837" i="2"/>
  <c r="F837" i="2"/>
  <c r="E837" i="2"/>
  <c r="C837" i="2"/>
  <c r="N836" i="2"/>
  <c r="M836" i="2"/>
  <c r="K836" i="2"/>
  <c r="F836" i="2"/>
  <c r="E836" i="2"/>
  <c r="C836" i="2"/>
  <c r="N835" i="2"/>
  <c r="K835" i="2"/>
  <c r="F835" i="2"/>
  <c r="E835" i="2"/>
  <c r="C835" i="2"/>
  <c r="N834" i="2"/>
  <c r="M834" i="2"/>
  <c r="K834" i="2"/>
  <c r="F834" i="2"/>
  <c r="E834" i="2"/>
  <c r="C834" i="2"/>
  <c r="N833" i="2"/>
  <c r="M833" i="2"/>
  <c r="K833" i="2"/>
  <c r="F833" i="2"/>
  <c r="E833" i="2"/>
  <c r="C833" i="2"/>
  <c r="N832" i="2"/>
  <c r="K832" i="2"/>
  <c r="F832" i="2"/>
  <c r="E832" i="2"/>
  <c r="C832" i="2"/>
  <c r="N831" i="2"/>
  <c r="M831" i="2"/>
  <c r="K831" i="2"/>
  <c r="F831" i="2"/>
  <c r="E831" i="2"/>
  <c r="C831" i="2"/>
  <c r="N830" i="2"/>
  <c r="M830" i="2"/>
  <c r="K830" i="2"/>
  <c r="F830" i="2"/>
  <c r="E830" i="2"/>
  <c r="C830" i="2"/>
  <c r="N829" i="2"/>
  <c r="M829" i="2"/>
  <c r="K829" i="2"/>
  <c r="F829" i="2"/>
  <c r="E829" i="2"/>
  <c r="C829" i="2"/>
  <c r="N828" i="2"/>
  <c r="M828" i="2"/>
  <c r="K828" i="2"/>
  <c r="F828" i="2"/>
  <c r="E828" i="2"/>
  <c r="C828" i="2"/>
  <c r="N827" i="2"/>
  <c r="M827" i="2"/>
  <c r="K827" i="2"/>
  <c r="F827" i="2"/>
  <c r="E827" i="2"/>
  <c r="C827" i="2"/>
  <c r="N826" i="2"/>
  <c r="M826" i="2"/>
  <c r="K826" i="2"/>
  <c r="F826" i="2"/>
  <c r="E826" i="2"/>
  <c r="C826" i="2"/>
  <c r="N825" i="2"/>
  <c r="M825" i="2"/>
  <c r="K825" i="2"/>
  <c r="F825" i="2"/>
  <c r="E825" i="2"/>
  <c r="C825" i="2"/>
  <c r="N824" i="2"/>
  <c r="K824" i="2"/>
  <c r="F824" i="2"/>
  <c r="E824" i="2"/>
  <c r="C824" i="2"/>
  <c r="N823" i="2"/>
  <c r="M823" i="2"/>
  <c r="K823" i="2"/>
  <c r="F823" i="2"/>
  <c r="E823" i="2"/>
  <c r="C823" i="2"/>
  <c r="N822" i="2"/>
  <c r="M822" i="2"/>
  <c r="L822" i="2"/>
  <c r="K822" i="2"/>
  <c r="F822" i="2"/>
  <c r="E822" i="2"/>
  <c r="C822" i="2"/>
  <c r="N821" i="2"/>
  <c r="M821" i="2"/>
  <c r="K821" i="2"/>
  <c r="F821" i="2"/>
  <c r="E821" i="2"/>
  <c r="C821" i="2"/>
  <c r="N820" i="2"/>
  <c r="M820" i="2"/>
  <c r="K820" i="2"/>
  <c r="F820" i="2"/>
  <c r="E820" i="2"/>
  <c r="C820" i="2"/>
  <c r="N819" i="2"/>
  <c r="K819" i="2"/>
  <c r="F819" i="2"/>
  <c r="E819" i="2"/>
  <c r="C819" i="2"/>
  <c r="N818" i="2"/>
  <c r="K818" i="2"/>
  <c r="F818" i="2"/>
  <c r="E818" i="2"/>
  <c r="C818" i="2"/>
  <c r="N817" i="2"/>
  <c r="K817" i="2"/>
  <c r="F817" i="2"/>
  <c r="E817" i="2"/>
  <c r="C817" i="2"/>
  <c r="N816" i="2"/>
  <c r="M816" i="2"/>
  <c r="L816" i="2"/>
  <c r="K816" i="2"/>
  <c r="F816" i="2"/>
  <c r="E816" i="2"/>
  <c r="C816" i="2"/>
  <c r="N815" i="2"/>
  <c r="M815" i="2"/>
  <c r="K815" i="2"/>
  <c r="F815" i="2"/>
  <c r="E815" i="2"/>
  <c r="C815" i="2"/>
  <c r="N814" i="2"/>
  <c r="M814" i="2"/>
  <c r="K814" i="2"/>
  <c r="F814" i="2"/>
  <c r="E814" i="2"/>
  <c r="C814" i="2"/>
  <c r="N813" i="2"/>
  <c r="M813" i="2"/>
  <c r="K813" i="2"/>
  <c r="F813" i="2"/>
  <c r="E813" i="2"/>
  <c r="C813" i="2"/>
  <c r="N812" i="2"/>
  <c r="K812" i="2"/>
  <c r="J812" i="2"/>
  <c r="F812" i="2"/>
  <c r="E812" i="2"/>
  <c r="C812" i="2"/>
  <c r="B812" i="2"/>
  <c r="A812" i="2"/>
  <c r="N811" i="2"/>
  <c r="K811" i="2"/>
  <c r="J811" i="2"/>
  <c r="F811" i="2"/>
  <c r="E811" i="2"/>
  <c r="C811" i="2"/>
  <c r="B811" i="2"/>
  <c r="A811" i="2"/>
  <c r="N810" i="2"/>
  <c r="K810" i="2"/>
  <c r="J810" i="2"/>
  <c r="F810" i="2"/>
  <c r="E810" i="2"/>
  <c r="C810" i="2"/>
  <c r="B810" i="2"/>
  <c r="A810" i="2"/>
  <c r="N809" i="2"/>
  <c r="K809" i="2"/>
  <c r="F809" i="2"/>
  <c r="E809" i="2"/>
  <c r="C809" i="2"/>
  <c r="B809" i="2"/>
  <c r="A809" i="2"/>
  <c r="N808" i="2"/>
  <c r="K808" i="2"/>
  <c r="J808" i="2"/>
  <c r="F808" i="2"/>
  <c r="E808" i="2"/>
  <c r="D808" i="2"/>
  <c r="C808" i="2"/>
  <c r="B808" i="2"/>
  <c r="A808" i="2"/>
  <c r="N807" i="2"/>
  <c r="K807" i="2"/>
  <c r="J807" i="2"/>
  <c r="F807" i="2"/>
  <c r="E807" i="2"/>
  <c r="C807" i="2"/>
  <c r="B807" i="2"/>
  <c r="A807" i="2"/>
  <c r="N806" i="2"/>
  <c r="K806" i="2"/>
  <c r="J806" i="2"/>
  <c r="F806" i="2"/>
  <c r="E806" i="2"/>
  <c r="D806" i="2"/>
  <c r="C806" i="2"/>
  <c r="B806" i="2"/>
  <c r="A806" i="2"/>
  <c r="N805" i="2"/>
  <c r="K805" i="2"/>
  <c r="J805" i="2"/>
  <c r="F805" i="2"/>
  <c r="E805" i="2"/>
  <c r="C805" i="2"/>
  <c r="B805" i="2"/>
  <c r="A805" i="2"/>
  <c r="N804" i="2"/>
  <c r="K804" i="2"/>
  <c r="J804" i="2"/>
  <c r="F804" i="2"/>
  <c r="E804" i="2"/>
  <c r="C804" i="2"/>
  <c r="B804" i="2"/>
  <c r="A804" i="2"/>
  <c r="N803" i="2"/>
  <c r="K803" i="2"/>
  <c r="J803" i="2"/>
  <c r="F803" i="2"/>
  <c r="E803" i="2"/>
  <c r="C803" i="2"/>
  <c r="B803" i="2"/>
  <c r="A803" i="2"/>
  <c r="N802" i="2"/>
  <c r="L802" i="2"/>
  <c r="K802" i="2"/>
  <c r="J802" i="2"/>
  <c r="F802" i="2"/>
  <c r="E802" i="2"/>
  <c r="C802" i="2"/>
  <c r="B802" i="2"/>
  <c r="A802" i="2"/>
  <c r="N801" i="2"/>
  <c r="K801" i="2"/>
  <c r="F801" i="2"/>
  <c r="E801" i="2"/>
  <c r="D801" i="2"/>
  <c r="C801" i="2"/>
  <c r="B801" i="2"/>
  <c r="A801" i="2"/>
  <c r="N800" i="2"/>
  <c r="K800" i="2"/>
  <c r="F800" i="2"/>
  <c r="E800" i="2"/>
  <c r="D800" i="2"/>
  <c r="C800" i="2"/>
  <c r="B800" i="2"/>
  <c r="A800" i="2"/>
  <c r="N799" i="2"/>
  <c r="K799" i="2"/>
  <c r="F799" i="2"/>
  <c r="E799" i="2"/>
  <c r="D799" i="2"/>
  <c r="C799" i="2"/>
  <c r="B799" i="2"/>
  <c r="A799" i="2"/>
  <c r="N798" i="2"/>
  <c r="K798" i="2"/>
  <c r="F798" i="2"/>
  <c r="E798" i="2"/>
  <c r="D798" i="2"/>
  <c r="C798" i="2"/>
  <c r="B798" i="2"/>
  <c r="A798" i="2"/>
  <c r="N797" i="2"/>
  <c r="K797" i="2"/>
  <c r="F797" i="2"/>
  <c r="E797" i="2"/>
  <c r="D797" i="2"/>
  <c r="C797" i="2"/>
  <c r="B797" i="2"/>
  <c r="A797" i="2"/>
  <c r="N796" i="2"/>
  <c r="K796" i="2"/>
  <c r="F796" i="2"/>
  <c r="E796" i="2"/>
  <c r="C796" i="2"/>
  <c r="B796" i="2"/>
  <c r="A796" i="2"/>
  <c r="N795" i="2"/>
  <c r="K795" i="2"/>
  <c r="F795" i="2"/>
  <c r="E795" i="2"/>
  <c r="C795" i="2"/>
  <c r="B795" i="2"/>
  <c r="A795" i="2"/>
  <c r="N794" i="2"/>
  <c r="K794" i="2"/>
  <c r="J794" i="2"/>
  <c r="F794" i="2"/>
  <c r="E794" i="2"/>
  <c r="C794" i="2"/>
  <c r="B794" i="2"/>
  <c r="A794" i="2"/>
  <c r="N793" i="2"/>
  <c r="K793" i="2"/>
  <c r="F793" i="2"/>
  <c r="E793" i="2"/>
  <c r="C793" i="2"/>
  <c r="B793" i="2"/>
  <c r="A793" i="2"/>
  <c r="N792" i="2"/>
  <c r="K792" i="2"/>
  <c r="J792" i="2"/>
  <c r="F792" i="2"/>
  <c r="E792" i="2"/>
  <c r="C792" i="2"/>
  <c r="B792" i="2"/>
  <c r="A792" i="2"/>
  <c r="N791" i="2"/>
  <c r="K791" i="2"/>
  <c r="F791" i="2"/>
  <c r="E791" i="2"/>
  <c r="C791" i="2"/>
  <c r="B791" i="2"/>
  <c r="A791" i="2"/>
  <c r="N790" i="2"/>
  <c r="F790" i="2"/>
  <c r="E790" i="2"/>
  <c r="C790" i="2"/>
  <c r="B790" i="2"/>
  <c r="A790" i="2"/>
  <c r="N789" i="2"/>
  <c r="K789" i="2"/>
  <c r="J789" i="2"/>
  <c r="H789" i="2"/>
  <c r="F789" i="2"/>
  <c r="E789" i="2"/>
  <c r="D789" i="2"/>
  <c r="C789" i="2"/>
  <c r="B789" i="2"/>
  <c r="A789" i="2"/>
  <c r="N788" i="2"/>
  <c r="K788" i="2"/>
  <c r="F788" i="2"/>
  <c r="E788" i="2"/>
  <c r="D788" i="2"/>
  <c r="C788" i="2"/>
  <c r="B788" i="2"/>
  <c r="A788" i="2"/>
  <c r="N787" i="2"/>
  <c r="K787" i="2"/>
  <c r="F787" i="2"/>
  <c r="E787" i="2"/>
  <c r="D787" i="2"/>
  <c r="C787" i="2"/>
  <c r="B787" i="2"/>
  <c r="A787" i="2"/>
  <c r="N786" i="2"/>
  <c r="K786" i="2"/>
  <c r="F786" i="2"/>
  <c r="E786" i="2"/>
  <c r="D786" i="2"/>
  <c r="C786" i="2"/>
  <c r="B786" i="2"/>
  <c r="A786" i="2"/>
  <c r="N785" i="2"/>
  <c r="K785" i="2"/>
  <c r="F785" i="2"/>
  <c r="E785" i="2"/>
  <c r="D785" i="2"/>
  <c r="C785" i="2"/>
  <c r="B785" i="2"/>
  <c r="A785" i="2"/>
  <c r="N784" i="2"/>
  <c r="K784" i="2"/>
  <c r="F784" i="2"/>
  <c r="E784" i="2"/>
  <c r="D784" i="2"/>
  <c r="C784" i="2"/>
  <c r="B784" i="2"/>
  <c r="A784" i="2"/>
  <c r="N783" i="2"/>
  <c r="K783" i="2"/>
  <c r="F783" i="2"/>
  <c r="E783" i="2"/>
  <c r="D783" i="2"/>
  <c r="C783" i="2"/>
  <c r="B783" i="2"/>
  <c r="A783" i="2"/>
  <c r="N782" i="2"/>
  <c r="K782" i="2"/>
  <c r="F782" i="2"/>
  <c r="E782" i="2"/>
  <c r="C782" i="2"/>
  <c r="B782" i="2"/>
  <c r="A782" i="2"/>
  <c r="N781" i="2"/>
  <c r="K781" i="2"/>
  <c r="J781" i="2"/>
  <c r="F781" i="2"/>
  <c r="E781" i="2"/>
  <c r="C781" i="2"/>
  <c r="B781" i="2"/>
  <c r="A781" i="2"/>
  <c r="N780" i="2"/>
  <c r="K780" i="2"/>
  <c r="J780" i="2"/>
  <c r="F780" i="2"/>
  <c r="E780" i="2"/>
  <c r="C780" i="2"/>
  <c r="B780" i="2"/>
  <c r="A780" i="2"/>
  <c r="N779" i="2"/>
  <c r="K779" i="2"/>
  <c r="J779" i="2"/>
  <c r="F779" i="2"/>
  <c r="E779" i="2"/>
  <c r="C779" i="2"/>
  <c r="B779" i="2"/>
  <c r="A779" i="2"/>
  <c r="N778" i="2"/>
  <c r="K778" i="2"/>
  <c r="J778" i="2"/>
  <c r="F778" i="2"/>
  <c r="E778" i="2"/>
  <c r="C778" i="2"/>
  <c r="B778" i="2"/>
  <c r="A778" i="2"/>
  <c r="N777" i="2"/>
  <c r="K777" i="2"/>
  <c r="J777" i="2"/>
  <c r="F777" i="2"/>
  <c r="E777" i="2"/>
  <c r="C777" i="2"/>
  <c r="B777" i="2"/>
  <c r="A777" i="2"/>
  <c r="N776" i="2"/>
  <c r="K776" i="2"/>
  <c r="J776" i="2"/>
  <c r="F776" i="2"/>
  <c r="E776" i="2"/>
  <c r="C776" i="2"/>
  <c r="B776" i="2"/>
  <c r="A776" i="2"/>
  <c r="N775" i="2"/>
  <c r="K775" i="2"/>
  <c r="J775" i="2"/>
  <c r="F775" i="2"/>
  <c r="E775" i="2"/>
  <c r="C775" i="2"/>
  <c r="B775" i="2"/>
  <c r="A775" i="2"/>
  <c r="N774" i="2"/>
  <c r="K774" i="2"/>
  <c r="J774" i="2"/>
  <c r="F774" i="2"/>
  <c r="E774" i="2"/>
  <c r="C774" i="2"/>
  <c r="B774" i="2"/>
  <c r="A774" i="2"/>
  <c r="N773" i="2"/>
  <c r="K773" i="2"/>
  <c r="J773" i="2"/>
  <c r="F773" i="2"/>
  <c r="E773" i="2"/>
  <c r="D773" i="2"/>
  <c r="C773" i="2"/>
  <c r="B773" i="2"/>
  <c r="A773" i="2"/>
  <c r="N772" i="2"/>
  <c r="K772" i="2"/>
  <c r="J772" i="2"/>
  <c r="F772" i="2"/>
  <c r="E772" i="2"/>
  <c r="C772" i="2"/>
  <c r="B772" i="2"/>
  <c r="A772" i="2"/>
  <c r="N771" i="2"/>
  <c r="F771" i="2"/>
  <c r="E771" i="2"/>
  <c r="C771" i="2"/>
  <c r="B771" i="2"/>
  <c r="A771" i="2"/>
  <c r="N770" i="2"/>
  <c r="K770" i="2"/>
  <c r="J770" i="2"/>
  <c r="F770" i="2"/>
  <c r="E770" i="2"/>
  <c r="C770" i="2"/>
  <c r="B770" i="2"/>
  <c r="A770" i="2"/>
  <c r="N769" i="2"/>
  <c r="K769" i="2"/>
  <c r="J769" i="2"/>
  <c r="F769" i="2"/>
  <c r="E769" i="2"/>
  <c r="C769" i="2"/>
  <c r="B769" i="2"/>
  <c r="A769" i="2"/>
  <c r="N768" i="2"/>
  <c r="K768" i="2"/>
  <c r="J768" i="2"/>
  <c r="F768" i="2"/>
  <c r="E768" i="2"/>
  <c r="C768" i="2"/>
  <c r="B768" i="2"/>
  <c r="A768" i="2"/>
  <c r="N767" i="2"/>
  <c r="K767" i="2"/>
  <c r="J767" i="2"/>
  <c r="F767" i="2"/>
  <c r="E767" i="2"/>
  <c r="C767" i="2"/>
  <c r="B767" i="2"/>
  <c r="A767" i="2"/>
  <c r="N766" i="2"/>
  <c r="K766" i="2"/>
  <c r="J766" i="2"/>
  <c r="F766" i="2"/>
  <c r="E766" i="2"/>
  <c r="C766" i="2"/>
  <c r="B766" i="2"/>
  <c r="A766" i="2"/>
  <c r="N765" i="2"/>
  <c r="K765" i="2"/>
  <c r="J765" i="2"/>
  <c r="F765" i="2"/>
  <c r="E765" i="2"/>
  <c r="C765" i="2"/>
  <c r="B765" i="2"/>
  <c r="A765" i="2"/>
  <c r="N764" i="2"/>
  <c r="K764" i="2"/>
  <c r="J764" i="2"/>
  <c r="F764" i="2"/>
  <c r="E764" i="2"/>
  <c r="D764" i="2"/>
  <c r="C764" i="2"/>
  <c r="B764" i="2"/>
  <c r="A764" i="2"/>
  <c r="N763" i="2"/>
  <c r="K763" i="2"/>
  <c r="F763" i="2"/>
  <c r="E763" i="2"/>
  <c r="D763" i="2"/>
  <c r="C763" i="2"/>
  <c r="B763" i="2"/>
  <c r="A763" i="2"/>
  <c r="N762" i="2"/>
  <c r="K762" i="2"/>
  <c r="J762" i="2"/>
  <c r="F762" i="2"/>
  <c r="E762" i="2"/>
  <c r="C762" i="2"/>
  <c r="B762" i="2"/>
  <c r="A762" i="2"/>
  <c r="N761" i="2"/>
  <c r="K761" i="2"/>
  <c r="J761" i="2"/>
  <c r="F761" i="2"/>
  <c r="E761" i="2"/>
  <c r="C761" i="2"/>
  <c r="B761" i="2"/>
  <c r="A761" i="2"/>
  <c r="N760" i="2"/>
  <c r="K760" i="2"/>
  <c r="J760" i="2"/>
  <c r="F760" i="2"/>
  <c r="E760" i="2"/>
  <c r="C760" i="2"/>
  <c r="B760" i="2"/>
  <c r="A760" i="2"/>
  <c r="N759" i="2"/>
  <c r="K759" i="2"/>
  <c r="J759" i="2"/>
  <c r="F759" i="2"/>
  <c r="E759" i="2"/>
  <c r="C759" i="2"/>
  <c r="B759" i="2"/>
  <c r="A759" i="2"/>
  <c r="N758" i="2"/>
  <c r="K758" i="2"/>
  <c r="F758" i="2"/>
  <c r="E758" i="2"/>
  <c r="C758" i="2"/>
  <c r="B758" i="2"/>
  <c r="A758" i="2"/>
  <c r="N757" i="2"/>
  <c r="K757" i="2"/>
  <c r="H757" i="2"/>
  <c r="F757" i="2"/>
  <c r="E757" i="2"/>
  <c r="D757" i="2"/>
  <c r="C757" i="2"/>
  <c r="B757" i="2"/>
  <c r="A757" i="2"/>
  <c r="N756" i="2"/>
  <c r="H756" i="2"/>
  <c r="F756" i="2"/>
  <c r="E756" i="2"/>
  <c r="C756" i="2"/>
  <c r="B756" i="2"/>
  <c r="A756" i="2"/>
  <c r="N755" i="2"/>
  <c r="K755" i="2"/>
  <c r="F755" i="2"/>
  <c r="E755" i="2"/>
  <c r="C755" i="2"/>
  <c r="B755" i="2"/>
  <c r="A755" i="2"/>
  <c r="N754" i="2"/>
  <c r="J754" i="2"/>
  <c r="F754" i="2"/>
  <c r="E754" i="2"/>
  <c r="C754" i="2"/>
  <c r="B754" i="2"/>
  <c r="A754" i="2"/>
  <c r="N753" i="2"/>
  <c r="K753" i="2"/>
  <c r="J753" i="2"/>
  <c r="F753" i="2"/>
  <c r="E753" i="2"/>
  <c r="D753" i="2"/>
  <c r="C753" i="2"/>
  <c r="B753" i="2"/>
  <c r="A753" i="2"/>
  <c r="N752" i="2"/>
  <c r="K752" i="2"/>
  <c r="J752" i="2"/>
  <c r="F752" i="2"/>
  <c r="E752" i="2"/>
  <c r="D752" i="2"/>
  <c r="C752" i="2"/>
  <c r="B752" i="2"/>
  <c r="A752" i="2"/>
  <c r="N751" i="2"/>
  <c r="K751" i="2"/>
  <c r="J751" i="2"/>
  <c r="I751" i="2"/>
  <c r="F751" i="2"/>
  <c r="E751" i="2"/>
  <c r="C751" i="2"/>
  <c r="B751" i="2"/>
  <c r="A751" i="2"/>
  <c r="N750" i="2"/>
  <c r="K750" i="2"/>
  <c r="F750" i="2"/>
  <c r="E750" i="2"/>
  <c r="D750" i="2"/>
  <c r="C750" i="2"/>
  <c r="B750" i="2"/>
  <c r="A750" i="2"/>
  <c r="N749" i="2"/>
  <c r="K749" i="2"/>
  <c r="J749" i="2"/>
  <c r="F749" i="2"/>
  <c r="E749" i="2"/>
  <c r="C749" i="2"/>
  <c r="B749" i="2"/>
  <c r="A749" i="2"/>
  <c r="N748" i="2"/>
  <c r="K748" i="2"/>
  <c r="J748" i="2"/>
  <c r="F748" i="2"/>
  <c r="E748" i="2"/>
  <c r="C748" i="2"/>
  <c r="B748" i="2"/>
  <c r="A748" i="2"/>
  <c r="N747" i="2"/>
  <c r="K747" i="2"/>
  <c r="F747" i="2"/>
  <c r="E747" i="2"/>
  <c r="C747" i="2"/>
  <c r="B747" i="2"/>
  <c r="A747" i="2"/>
  <c r="N746" i="2"/>
  <c r="K746" i="2"/>
  <c r="F746" i="2"/>
  <c r="E746" i="2"/>
  <c r="D746" i="2"/>
  <c r="C746" i="2"/>
  <c r="B746" i="2"/>
  <c r="A746" i="2"/>
  <c r="N745" i="2"/>
  <c r="K745" i="2"/>
  <c r="F745" i="2"/>
  <c r="E745" i="2"/>
  <c r="D745" i="2"/>
  <c r="C745" i="2"/>
  <c r="B745" i="2"/>
  <c r="A745" i="2"/>
  <c r="N744" i="2"/>
  <c r="K744" i="2"/>
  <c r="J744" i="2"/>
  <c r="F744" i="2"/>
  <c r="E744" i="2"/>
  <c r="C744" i="2"/>
  <c r="B744" i="2"/>
  <c r="A744" i="2"/>
  <c r="N743" i="2"/>
  <c r="K743" i="2"/>
  <c r="J743" i="2"/>
  <c r="F743" i="2"/>
  <c r="E743" i="2"/>
  <c r="C743" i="2"/>
  <c r="B743" i="2"/>
  <c r="A743" i="2"/>
  <c r="N742" i="2"/>
  <c r="K742" i="2"/>
  <c r="F742" i="2"/>
  <c r="E742" i="2"/>
  <c r="D742" i="2"/>
  <c r="C742" i="2"/>
  <c r="B742" i="2"/>
  <c r="A742" i="2"/>
  <c r="N741" i="2"/>
  <c r="K741" i="2"/>
  <c r="F741" i="2"/>
  <c r="E741" i="2"/>
  <c r="D741" i="2"/>
  <c r="C741" i="2"/>
  <c r="B741" i="2"/>
  <c r="A741" i="2"/>
  <c r="N740" i="2"/>
  <c r="K740" i="2"/>
  <c r="F740" i="2"/>
  <c r="E740" i="2"/>
  <c r="D740" i="2"/>
  <c r="C740" i="2"/>
  <c r="B740" i="2"/>
  <c r="A740" i="2"/>
  <c r="N739" i="2"/>
  <c r="K739" i="2"/>
  <c r="F739" i="2"/>
  <c r="E739" i="2"/>
  <c r="D739" i="2"/>
  <c r="C739" i="2"/>
  <c r="B739" i="2"/>
  <c r="A739" i="2"/>
  <c r="N738" i="2"/>
  <c r="L738" i="2"/>
  <c r="K738" i="2"/>
  <c r="F738" i="2"/>
  <c r="E738" i="2"/>
  <c r="D738" i="2"/>
  <c r="C738" i="2"/>
  <c r="B738" i="2"/>
  <c r="A738" i="2"/>
  <c r="N737" i="2"/>
  <c r="F737" i="2"/>
  <c r="E737" i="2"/>
  <c r="C737" i="2"/>
  <c r="B737" i="2"/>
  <c r="A737" i="2"/>
  <c r="N736" i="2"/>
  <c r="K736" i="2"/>
  <c r="F736" i="2"/>
  <c r="E736" i="2"/>
  <c r="C736" i="2"/>
  <c r="B736" i="2"/>
  <c r="A736" i="2"/>
  <c r="N735" i="2"/>
  <c r="K735" i="2"/>
  <c r="G735" i="2"/>
  <c r="F735" i="2"/>
  <c r="E735" i="2"/>
  <c r="D735" i="2"/>
  <c r="C735" i="2"/>
  <c r="B735" i="2"/>
  <c r="A735" i="2"/>
  <c r="N734" i="2"/>
  <c r="K734" i="2"/>
  <c r="J734" i="2"/>
  <c r="F734" i="2"/>
  <c r="E734" i="2"/>
  <c r="C734" i="2"/>
  <c r="B734" i="2"/>
  <c r="A734" i="2"/>
  <c r="N733" i="2"/>
  <c r="K733" i="2"/>
  <c r="J733" i="2"/>
  <c r="I733" i="2"/>
  <c r="F733" i="2"/>
  <c r="E733" i="2"/>
  <c r="C733" i="2"/>
  <c r="B733" i="2"/>
  <c r="A733" i="2"/>
  <c r="N732" i="2"/>
  <c r="K732" i="2"/>
  <c r="I732" i="2"/>
  <c r="F732" i="2"/>
  <c r="E732" i="2"/>
  <c r="D732" i="2"/>
  <c r="C732" i="2"/>
  <c r="B732" i="2"/>
  <c r="A732" i="2"/>
  <c r="N731" i="2"/>
  <c r="K731" i="2"/>
  <c r="J731" i="2"/>
  <c r="F731" i="2"/>
  <c r="E731" i="2"/>
  <c r="C731" i="2"/>
  <c r="B731" i="2"/>
  <c r="A731" i="2"/>
  <c r="N730" i="2"/>
  <c r="K730" i="2"/>
  <c r="J730" i="2"/>
  <c r="F730" i="2"/>
  <c r="E730" i="2"/>
  <c r="C730" i="2"/>
  <c r="B730" i="2"/>
  <c r="A730" i="2"/>
  <c r="N729" i="2"/>
  <c r="J729" i="2"/>
  <c r="F729" i="2"/>
  <c r="E729" i="2"/>
  <c r="C729" i="2"/>
  <c r="B729" i="2"/>
  <c r="A729" i="2"/>
  <c r="N728" i="2"/>
  <c r="K728" i="2"/>
  <c r="J728" i="2"/>
  <c r="F728" i="2"/>
  <c r="E728" i="2"/>
  <c r="C728" i="2"/>
  <c r="B728" i="2"/>
  <c r="A728" i="2"/>
  <c r="N727" i="2"/>
  <c r="K727" i="2"/>
  <c r="F727" i="2"/>
  <c r="E727" i="2"/>
  <c r="C727" i="2"/>
  <c r="B727" i="2"/>
  <c r="A727" i="2"/>
  <c r="N726" i="2"/>
  <c r="K726" i="2"/>
  <c r="I726" i="2"/>
  <c r="F726" i="2"/>
  <c r="E726" i="2"/>
  <c r="C726" i="2"/>
  <c r="B726" i="2"/>
  <c r="A726" i="2"/>
  <c r="N725" i="2"/>
  <c r="K725" i="2"/>
  <c r="J725" i="2"/>
  <c r="F725" i="2"/>
  <c r="E725" i="2"/>
  <c r="D725" i="2"/>
  <c r="C725" i="2"/>
  <c r="B725" i="2"/>
  <c r="A725" i="2"/>
  <c r="N724" i="2"/>
  <c r="K724" i="2"/>
  <c r="F724" i="2"/>
  <c r="E724" i="2"/>
  <c r="C724" i="2"/>
  <c r="B724" i="2"/>
  <c r="A724" i="2"/>
  <c r="N723" i="2"/>
  <c r="K723" i="2"/>
  <c r="J723" i="2"/>
  <c r="F723" i="2"/>
  <c r="E723" i="2"/>
  <c r="C723" i="2"/>
  <c r="B723" i="2"/>
  <c r="A723" i="2"/>
  <c r="N722" i="2"/>
  <c r="K722" i="2"/>
  <c r="F722" i="2"/>
  <c r="E722" i="2"/>
  <c r="C722" i="2"/>
  <c r="B722" i="2"/>
  <c r="A722" i="2"/>
  <c r="N721" i="2"/>
  <c r="K721" i="2"/>
  <c r="J721" i="2"/>
  <c r="F721" i="2"/>
  <c r="E721" i="2"/>
  <c r="C721" i="2"/>
  <c r="B721" i="2"/>
  <c r="A721" i="2"/>
  <c r="N720" i="2"/>
  <c r="K720" i="2"/>
  <c r="H720" i="2"/>
  <c r="F720" i="2"/>
  <c r="E720" i="2"/>
  <c r="C720" i="2"/>
  <c r="B720" i="2"/>
  <c r="A720" i="2"/>
  <c r="N719" i="2"/>
  <c r="K719" i="2"/>
  <c r="J719" i="2"/>
  <c r="I719" i="2"/>
  <c r="F719" i="2"/>
  <c r="E719" i="2"/>
  <c r="C719" i="2"/>
  <c r="B719" i="2"/>
  <c r="A719" i="2"/>
  <c r="N718" i="2"/>
  <c r="K718" i="2"/>
  <c r="F718" i="2"/>
  <c r="E718" i="2"/>
  <c r="D718" i="2"/>
  <c r="C718" i="2"/>
  <c r="B718" i="2"/>
  <c r="A718" i="2"/>
  <c r="N717" i="2"/>
  <c r="K717" i="2"/>
  <c r="F717" i="2"/>
  <c r="E717" i="2"/>
  <c r="D717" i="2"/>
  <c r="C717" i="2"/>
  <c r="B717" i="2"/>
  <c r="A717" i="2"/>
  <c r="N716" i="2"/>
  <c r="K716" i="2"/>
  <c r="J716" i="2"/>
  <c r="F716" i="2"/>
  <c r="E716" i="2"/>
  <c r="D716" i="2"/>
  <c r="C716" i="2"/>
  <c r="B716" i="2"/>
  <c r="A716" i="2"/>
  <c r="N715" i="2"/>
  <c r="K715" i="2"/>
  <c r="F715" i="2"/>
  <c r="E715" i="2"/>
  <c r="C715" i="2"/>
  <c r="B715" i="2"/>
  <c r="A715" i="2"/>
  <c r="N714" i="2"/>
  <c r="K714" i="2"/>
  <c r="F714" i="2"/>
  <c r="E714" i="2"/>
  <c r="C714" i="2"/>
  <c r="B714" i="2"/>
  <c r="A714" i="2"/>
  <c r="N713" i="2"/>
  <c r="K713" i="2"/>
  <c r="J713" i="2"/>
  <c r="F713" i="2"/>
  <c r="E713" i="2"/>
  <c r="C713" i="2"/>
  <c r="B713" i="2"/>
  <c r="A713" i="2"/>
  <c r="N712" i="2"/>
  <c r="K712" i="2"/>
  <c r="F712" i="2"/>
  <c r="E712" i="2"/>
  <c r="C712" i="2"/>
  <c r="B712" i="2"/>
  <c r="A712" i="2"/>
  <c r="N711" i="2"/>
  <c r="K711" i="2"/>
  <c r="F711" i="2"/>
  <c r="E711" i="2"/>
  <c r="C711" i="2"/>
  <c r="B711" i="2"/>
  <c r="A711" i="2"/>
  <c r="N710" i="2"/>
  <c r="K710" i="2"/>
  <c r="J710" i="2"/>
  <c r="F710" i="2"/>
  <c r="E710" i="2"/>
  <c r="C710" i="2"/>
  <c r="B710" i="2"/>
  <c r="A710" i="2"/>
  <c r="N709" i="2"/>
  <c r="K709" i="2"/>
  <c r="G709" i="2"/>
  <c r="F709" i="2"/>
  <c r="E709" i="2"/>
  <c r="C709" i="2"/>
  <c r="B709" i="2"/>
  <c r="A709" i="2"/>
  <c r="N708" i="2"/>
  <c r="K708" i="2"/>
  <c r="J708" i="2"/>
  <c r="F708" i="2"/>
  <c r="E708" i="2"/>
  <c r="C708" i="2"/>
  <c r="B708" i="2"/>
  <c r="A708" i="2"/>
  <c r="N707" i="2"/>
  <c r="K707" i="2"/>
  <c r="J707" i="2"/>
  <c r="F707" i="2"/>
  <c r="E707" i="2"/>
  <c r="C707" i="2"/>
  <c r="B707" i="2"/>
  <c r="A707" i="2"/>
  <c r="N706" i="2"/>
  <c r="K706" i="2"/>
  <c r="F706" i="2"/>
  <c r="E706" i="2"/>
  <c r="C706" i="2"/>
  <c r="B706" i="2"/>
  <c r="A706" i="2"/>
  <c r="N705" i="2"/>
  <c r="L705" i="2"/>
  <c r="K705" i="2"/>
  <c r="F705" i="2"/>
  <c r="E705" i="2"/>
  <c r="C705" i="2"/>
  <c r="B705" i="2"/>
  <c r="A705" i="2"/>
  <c r="N704" i="2"/>
  <c r="K704" i="2"/>
  <c r="J704" i="2"/>
  <c r="F704" i="2"/>
  <c r="E704" i="2"/>
  <c r="C704" i="2"/>
  <c r="B704" i="2"/>
  <c r="A704" i="2"/>
  <c r="N703" i="2"/>
  <c r="K703" i="2"/>
  <c r="F703" i="2"/>
  <c r="E703" i="2"/>
  <c r="C703" i="2"/>
  <c r="B703" i="2"/>
  <c r="A703" i="2"/>
  <c r="N702" i="2"/>
  <c r="K702" i="2"/>
  <c r="J702" i="2"/>
  <c r="F702" i="2"/>
  <c r="E702" i="2"/>
  <c r="C702" i="2"/>
  <c r="B702" i="2"/>
  <c r="A702" i="2"/>
  <c r="N701" i="2"/>
  <c r="K701" i="2"/>
  <c r="J701" i="2"/>
  <c r="G701" i="2"/>
  <c r="F701" i="2"/>
  <c r="E701" i="2"/>
  <c r="C701" i="2"/>
  <c r="B701" i="2"/>
  <c r="A701" i="2"/>
  <c r="N700" i="2"/>
  <c r="K700" i="2"/>
  <c r="J700" i="2"/>
  <c r="F700" i="2"/>
  <c r="E700" i="2"/>
  <c r="D700" i="2"/>
  <c r="C700" i="2"/>
  <c r="B700" i="2"/>
  <c r="A700" i="2"/>
  <c r="N699" i="2"/>
  <c r="K699" i="2"/>
  <c r="F699" i="2"/>
  <c r="E699" i="2"/>
  <c r="C699" i="2"/>
  <c r="B699" i="2"/>
  <c r="A699" i="2"/>
  <c r="N698" i="2"/>
  <c r="K698" i="2"/>
  <c r="J698" i="2"/>
  <c r="F698" i="2"/>
  <c r="E698" i="2"/>
  <c r="C698" i="2"/>
  <c r="B698" i="2"/>
  <c r="A698" i="2"/>
  <c r="N697" i="2"/>
  <c r="K697" i="2"/>
  <c r="J697" i="2"/>
  <c r="F697" i="2"/>
  <c r="E697" i="2"/>
  <c r="C697" i="2"/>
  <c r="B697" i="2"/>
  <c r="A697" i="2"/>
  <c r="N696" i="2"/>
  <c r="K696" i="2"/>
  <c r="J696" i="2"/>
  <c r="F696" i="2"/>
  <c r="E696" i="2"/>
  <c r="C696" i="2"/>
  <c r="B696" i="2"/>
  <c r="A696" i="2"/>
  <c r="N695" i="2"/>
  <c r="K695" i="2"/>
  <c r="J695" i="2"/>
  <c r="F695" i="2"/>
  <c r="E695" i="2"/>
  <c r="C695" i="2"/>
  <c r="B695" i="2"/>
  <c r="A695" i="2"/>
  <c r="N694" i="2"/>
  <c r="K694" i="2"/>
  <c r="J694" i="2"/>
  <c r="F694" i="2"/>
  <c r="E694" i="2"/>
  <c r="C694" i="2"/>
  <c r="B694" i="2"/>
  <c r="A694" i="2"/>
  <c r="N693" i="2"/>
  <c r="K693" i="2"/>
  <c r="F693" i="2"/>
  <c r="E693" i="2"/>
  <c r="C693" i="2"/>
  <c r="B693" i="2"/>
  <c r="A693" i="2"/>
  <c r="N692" i="2"/>
  <c r="K692" i="2"/>
  <c r="J692" i="2"/>
  <c r="F692" i="2"/>
  <c r="E692" i="2"/>
  <c r="C692" i="2"/>
  <c r="B692" i="2"/>
  <c r="A692" i="2"/>
  <c r="N691" i="2"/>
  <c r="K691" i="2"/>
  <c r="F691" i="2"/>
  <c r="E691" i="2"/>
  <c r="C691" i="2"/>
  <c r="B691" i="2"/>
  <c r="A691" i="2"/>
  <c r="N690" i="2"/>
  <c r="K690" i="2"/>
  <c r="J690" i="2"/>
  <c r="F690" i="2"/>
  <c r="E690" i="2"/>
  <c r="C690" i="2"/>
  <c r="B690" i="2"/>
  <c r="A690" i="2"/>
  <c r="N689" i="2"/>
  <c r="K689" i="2"/>
  <c r="J689" i="2"/>
  <c r="F689" i="2"/>
  <c r="E689" i="2"/>
  <c r="C689" i="2"/>
  <c r="B689" i="2"/>
  <c r="A689" i="2"/>
  <c r="N688" i="2"/>
  <c r="L688" i="2"/>
  <c r="K688" i="2"/>
  <c r="F688" i="2"/>
  <c r="E688" i="2"/>
  <c r="C688" i="2"/>
  <c r="B688" i="2"/>
  <c r="A688" i="2"/>
  <c r="N687" i="2"/>
  <c r="K687" i="2"/>
  <c r="F687" i="2"/>
  <c r="E687" i="2"/>
  <c r="C687" i="2"/>
  <c r="B687" i="2"/>
  <c r="A687" i="2"/>
  <c r="N686" i="2"/>
  <c r="K686" i="2"/>
  <c r="F686" i="2"/>
  <c r="E686" i="2"/>
  <c r="C686" i="2"/>
  <c r="B686" i="2"/>
  <c r="A686" i="2"/>
  <c r="N685" i="2"/>
  <c r="K685" i="2"/>
  <c r="F685" i="2"/>
  <c r="E685" i="2"/>
  <c r="C685" i="2"/>
  <c r="B685" i="2"/>
  <c r="A685" i="2"/>
  <c r="N684" i="2"/>
  <c r="K684" i="2"/>
  <c r="J684" i="2"/>
  <c r="F684" i="2"/>
  <c r="E684" i="2"/>
  <c r="C684" i="2"/>
  <c r="B684" i="2"/>
  <c r="A684" i="2"/>
  <c r="N683" i="2"/>
  <c r="K683" i="2"/>
  <c r="F683" i="2"/>
  <c r="E683" i="2"/>
  <c r="C683" i="2"/>
  <c r="B683" i="2"/>
  <c r="A683" i="2"/>
  <c r="N682" i="2"/>
  <c r="K682" i="2"/>
  <c r="F682" i="2"/>
  <c r="E682" i="2"/>
  <c r="C682" i="2"/>
  <c r="B682" i="2"/>
  <c r="A682" i="2"/>
  <c r="N681" i="2"/>
  <c r="K681" i="2"/>
  <c r="F681" i="2"/>
  <c r="E681" i="2"/>
  <c r="C681" i="2"/>
  <c r="B681" i="2"/>
  <c r="A681" i="2"/>
  <c r="N680" i="2"/>
  <c r="K680" i="2"/>
  <c r="F680" i="2"/>
  <c r="E680" i="2"/>
  <c r="C680" i="2"/>
  <c r="B680" i="2"/>
  <c r="A680" i="2"/>
  <c r="N679" i="2"/>
  <c r="K679" i="2"/>
  <c r="F679" i="2"/>
  <c r="E679" i="2"/>
  <c r="C679" i="2"/>
  <c r="B679" i="2"/>
  <c r="A679" i="2"/>
  <c r="N678" i="2"/>
  <c r="K678" i="2"/>
  <c r="F678" i="2"/>
  <c r="E678" i="2"/>
  <c r="C678" i="2"/>
  <c r="B678" i="2"/>
  <c r="A678" i="2"/>
  <c r="N677" i="2"/>
  <c r="K677" i="2"/>
  <c r="F677" i="2"/>
  <c r="E677" i="2"/>
  <c r="C677" i="2"/>
  <c r="B677" i="2"/>
  <c r="A677" i="2"/>
  <c r="N676" i="2"/>
  <c r="K676" i="2"/>
  <c r="F676" i="2"/>
  <c r="E676" i="2"/>
  <c r="C676" i="2"/>
  <c r="B676" i="2"/>
  <c r="A676" i="2"/>
  <c r="N675" i="2"/>
  <c r="K675" i="2"/>
  <c r="J675" i="2"/>
  <c r="F675" i="2"/>
  <c r="E675" i="2"/>
  <c r="C675" i="2"/>
  <c r="B675" i="2"/>
  <c r="A675" i="2"/>
  <c r="N674" i="2"/>
  <c r="K674" i="2"/>
  <c r="F674" i="2"/>
  <c r="E674" i="2"/>
  <c r="C674" i="2"/>
  <c r="B674" i="2"/>
  <c r="A674" i="2"/>
  <c r="N673" i="2"/>
  <c r="J673" i="2"/>
  <c r="F673" i="2"/>
  <c r="E673" i="2"/>
  <c r="C673" i="2"/>
  <c r="B673" i="2"/>
  <c r="A673" i="2"/>
  <c r="N672" i="2"/>
  <c r="J672" i="2"/>
  <c r="F672" i="2"/>
  <c r="E672" i="2"/>
  <c r="C672" i="2"/>
  <c r="B672" i="2"/>
  <c r="A672" i="2"/>
  <c r="N671" i="2"/>
  <c r="K671" i="2"/>
  <c r="J671" i="2"/>
  <c r="F671" i="2"/>
  <c r="E671" i="2"/>
  <c r="D671" i="2"/>
  <c r="C671" i="2"/>
  <c r="B671" i="2"/>
  <c r="A671" i="2"/>
  <c r="N670" i="2"/>
  <c r="K670" i="2"/>
  <c r="J670" i="2"/>
  <c r="F670" i="2"/>
  <c r="E670" i="2"/>
  <c r="D670" i="2"/>
  <c r="C670" i="2"/>
  <c r="B670" i="2"/>
  <c r="A670" i="2"/>
  <c r="N669" i="2"/>
  <c r="K669" i="2"/>
  <c r="J669" i="2"/>
  <c r="F669" i="2"/>
  <c r="E669" i="2"/>
  <c r="C669" i="2"/>
  <c r="B669" i="2"/>
  <c r="A669" i="2"/>
  <c r="N668" i="2"/>
  <c r="K668" i="2"/>
  <c r="J668" i="2"/>
  <c r="F668" i="2"/>
  <c r="E668" i="2"/>
  <c r="D668" i="2"/>
  <c r="C668" i="2"/>
  <c r="B668" i="2"/>
  <c r="A668" i="2"/>
  <c r="N667" i="2"/>
  <c r="K667" i="2"/>
  <c r="J667" i="2"/>
  <c r="F667" i="2"/>
  <c r="E667" i="2"/>
  <c r="C667" i="2"/>
  <c r="B667" i="2"/>
  <c r="A667" i="2"/>
  <c r="N666" i="2"/>
  <c r="K666" i="2"/>
  <c r="F666" i="2"/>
  <c r="E666" i="2"/>
  <c r="C666" i="2"/>
  <c r="B666" i="2"/>
  <c r="A666" i="2"/>
  <c r="N665" i="2"/>
  <c r="J665" i="2"/>
  <c r="F665" i="2"/>
  <c r="E665" i="2"/>
  <c r="C665" i="2"/>
  <c r="B665" i="2"/>
  <c r="A665" i="2"/>
  <c r="N664" i="2"/>
  <c r="K664" i="2"/>
  <c r="F664" i="2"/>
  <c r="E664" i="2"/>
  <c r="C664" i="2"/>
  <c r="B664" i="2"/>
  <c r="A664" i="2"/>
  <c r="N663" i="2"/>
  <c r="K663" i="2"/>
  <c r="J663" i="2"/>
  <c r="F663" i="2"/>
  <c r="E663" i="2"/>
  <c r="C663" i="2"/>
  <c r="B663" i="2"/>
  <c r="A663" i="2"/>
  <c r="N662" i="2"/>
  <c r="K662" i="2"/>
  <c r="F662" i="2"/>
  <c r="E662" i="2"/>
  <c r="C662" i="2"/>
  <c r="B662" i="2"/>
  <c r="A662" i="2"/>
  <c r="N661" i="2"/>
  <c r="K661" i="2"/>
  <c r="F661" i="2"/>
  <c r="E661" i="2"/>
  <c r="C661" i="2"/>
  <c r="B661" i="2"/>
  <c r="A661" i="2"/>
  <c r="N660" i="2"/>
  <c r="K660" i="2"/>
  <c r="F660" i="2"/>
  <c r="E660" i="2"/>
  <c r="C660" i="2"/>
  <c r="B660" i="2"/>
  <c r="A660" i="2"/>
  <c r="N659" i="2"/>
  <c r="K659" i="2"/>
  <c r="H659" i="2"/>
  <c r="F659" i="2"/>
  <c r="E659" i="2"/>
  <c r="C659" i="2"/>
  <c r="B659" i="2"/>
  <c r="A659" i="2"/>
  <c r="N658" i="2"/>
  <c r="K658" i="2"/>
  <c r="J658" i="2"/>
  <c r="F658" i="2"/>
  <c r="E658" i="2"/>
  <c r="C658" i="2"/>
  <c r="B658" i="2"/>
  <c r="A658" i="2"/>
  <c r="N657" i="2"/>
  <c r="K657" i="2"/>
  <c r="J657" i="2"/>
  <c r="F657" i="2"/>
  <c r="E657" i="2"/>
  <c r="C657" i="2"/>
  <c r="B657" i="2"/>
  <c r="A657" i="2"/>
  <c r="N656" i="2"/>
  <c r="K656" i="2"/>
  <c r="J656" i="2"/>
  <c r="F656" i="2"/>
  <c r="E656" i="2"/>
  <c r="D656" i="2"/>
  <c r="C656" i="2"/>
  <c r="B656" i="2"/>
  <c r="A656" i="2"/>
  <c r="N655" i="2"/>
  <c r="K655" i="2"/>
  <c r="F655" i="2"/>
  <c r="E655" i="2"/>
  <c r="D655" i="2"/>
  <c r="C655" i="2"/>
  <c r="B655" i="2"/>
  <c r="A655" i="2"/>
  <c r="N654" i="2"/>
  <c r="F654" i="2"/>
  <c r="E654" i="2"/>
  <c r="C654" i="2"/>
  <c r="B654" i="2"/>
  <c r="A654" i="2"/>
  <c r="N653" i="2"/>
  <c r="K653" i="2"/>
  <c r="J653" i="2"/>
  <c r="F653" i="2"/>
  <c r="E653" i="2"/>
  <c r="C653" i="2"/>
  <c r="B653" i="2"/>
  <c r="A653" i="2"/>
  <c r="N652" i="2"/>
  <c r="K652" i="2"/>
  <c r="J652" i="2"/>
  <c r="F652" i="2"/>
  <c r="E652" i="2"/>
  <c r="C652" i="2"/>
  <c r="B652" i="2"/>
  <c r="A652" i="2"/>
  <c r="N651" i="2"/>
  <c r="K651" i="2"/>
  <c r="J651" i="2"/>
  <c r="F651" i="2"/>
  <c r="E651" i="2"/>
  <c r="C651" i="2"/>
  <c r="B651" i="2"/>
  <c r="A651" i="2"/>
  <c r="N650" i="2"/>
  <c r="K650" i="2"/>
  <c r="F650" i="2"/>
  <c r="E650" i="2"/>
  <c r="C650" i="2"/>
  <c r="B650" i="2"/>
  <c r="A650" i="2"/>
  <c r="N649" i="2"/>
  <c r="K649" i="2"/>
  <c r="J649" i="2"/>
  <c r="F649" i="2"/>
  <c r="E649" i="2"/>
  <c r="C649" i="2"/>
  <c r="B649" i="2"/>
  <c r="A649" i="2"/>
  <c r="N648" i="2"/>
  <c r="K648" i="2"/>
  <c r="F648" i="2"/>
  <c r="E648" i="2"/>
  <c r="C648" i="2"/>
  <c r="B648" i="2"/>
  <c r="A648" i="2"/>
  <c r="N647" i="2"/>
  <c r="K647" i="2"/>
  <c r="J647" i="2"/>
  <c r="F647" i="2"/>
  <c r="E647" i="2"/>
  <c r="C647" i="2"/>
  <c r="B647" i="2"/>
  <c r="A647" i="2"/>
  <c r="N646" i="2"/>
  <c r="K646" i="2"/>
  <c r="J646" i="2"/>
  <c r="F646" i="2"/>
  <c r="E646" i="2"/>
  <c r="C646" i="2"/>
  <c r="B646" i="2"/>
  <c r="A646" i="2"/>
  <c r="N645" i="2"/>
  <c r="K645" i="2"/>
  <c r="J645" i="2"/>
  <c r="F645" i="2"/>
  <c r="E645" i="2"/>
  <c r="C645" i="2"/>
  <c r="B645" i="2"/>
  <c r="A645" i="2"/>
  <c r="N644" i="2"/>
  <c r="K644" i="2"/>
  <c r="J644" i="2"/>
  <c r="F644" i="2"/>
  <c r="E644" i="2"/>
  <c r="C644" i="2"/>
  <c r="B644" i="2"/>
  <c r="A644" i="2"/>
  <c r="N643" i="2"/>
  <c r="K643" i="2"/>
  <c r="F643" i="2"/>
  <c r="E643" i="2"/>
  <c r="C643" i="2"/>
  <c r="B643" i="2"/>
  <c r="A643" i="2"/>
  <c r="N642" i="2"/>
  <c r="K642" i="2"/>
  <c r="F642" i="2"/>
  <c r="E642" i="2"/>
  <c r="C642" i="2"/>
  <c r="B642" i="2"/>
  <c r="A642" i="2"/>
  <c r="N641" i="2"/>
  <c r="K641" i="2"/>
  <c r="F641" i="2"/>
  <c r="E641" i="2"/>
  <c r="C641" i="2"/>
  <c r="B641" i="2"/>
  <c r="A641" i="2"/>
  <c r="N640" i="2"/>
  <c r="K640" i="2"/>
  <c r="F640" i="2"/>
  <c r="E640" i="2"/>
  <c r="C640" i="2"/>
  <c r="B640" i="2"/>
  <c r="A640" i="2"/>
  <c r="N639" i="2"/>
  <c r="K639" i="2"/>
  <c r="F639" i="2"/>
  <c r="E639" i="2"/>
  <c r="C639" i="2"/>
  <c r="B639" i="2"/>
  <c r="A639" i="2"/>
  <c r="N638" i="2"/>
  <c r="K638" i="2"/>
  <c r="F638" i="2"/>
  <c r="E638" i="2"/>
  <c r="C638" i="2"/>
  <c r="B638" i="2"/>
  <c r="A638" i="2"/>
  <c r="N637" i="2"/>
  <c r="K637" i="2"/>
  <c r="F637" i="2"/>
  <c r="E637" i="2"/>
  <c r="C637" i="2"/>
  <c r="B637" i="2"/>
  <c r="A637" i="2"/>
  <c r="N636" i="2"/>
  <c r="K636" i="2"/>
  <c r="J636" i="2"/>
  <c r="F636" i="2"/>
  <c r="E636" i="2"/>
  <c r="C636" i="2"/>
  <c r="B636" i="2"/>
  <c r="A636" i="2"/>
  <c r="N635" i="2"/>
  <c r="K635" i="2"/>
  <c r="J635" i="2"/>
  <c r="F635" i="2"/>
  <c r="E635" i="2"/>
  <c r="C635" i="2"/>
  <c r="B635" i="2"/>
  <c r="A635" i="2"/>
  <c r="N634" i="2"/>
  <c r="K634" i="2"/>
  <c r="F634" i="2"/>
  <c r="E634" i="2"/>
  <c r="C634" i="2"/>
  <c r="B634" i="2"/>
  <c r="A634" i="2"/>
  <c r="N633" i="2"/>
  <c r="K633" i="2"/>
  <c r="J633" i="2"/>
  <c r="F633" i="2"/>
  <c r="E633" i="2"/>
  <c r="C633" i="2"/>
  <c r="B633" i="2"/>
  <c r="A633" i="2"/>
  <c r="N632" i="2"/>
  <c r="K632" i="2"/>
  <c r="F632" i="2"/>
  <c r="E632" i="2"/>
  <c r="C632" i="2"/>
  <c r="B632" i="2"/>
  <c r="A632" i="2"/>
  <c r="N631" i="2"/>
  <c r="K631" i="2"/>
  <c r="F631" i="2"/>
  <c r="E631" i="2"/>
  <c r="C631" i="2"/>
  <c r="B631" i="2"/>
  <c r="A631" i="2"/>
  <c r="N630" i="2"/>
  <c r="K630" i="2"/>
  <c r="F630" i="2"/>
  <c r="E630" i="2"/>
  <c r="C630" i="2"/>
  <c r="B630" i="2"/>
  <c r="A630" i="2"/>
  <c r="N629" i="2"/>
  <c r="K629" i="2"/>
  <c r="F629" i="2"/>
  <c r="E629" i="2"/>
  <c r="C629" i="2"/>
  <c r="B629" i="2"/>
  <c r="A629" i="2"/>
  <c r="N628" i="2"/>
  <c r="K628" i="2"/>
  <c r="F628" i="2"/>
  <c r="E628" i="2"/>
  <c r="C628" i="2"/>
  <c r="B628" i="2"/>
  <c r="A628" i="2"/>
  <c r="N627" i="2"/>
  <c r="K627" i="2"/>
  <c r="J627" i="2"/>
  <c r="F627" i="2"/>
  <c r="E627" i="2"/>
  <c r="C627" i="2"/>
  <c r="B627" i="2"/>
  <c r="A627" i="2"/>
  <c r="N626" i="2"/>
  <c r="K626" i="2"/>
  <c r="J626" i="2"/>
  <c r="F626" i="2"/>
  <c r="E626" i="2"/>
  <c r="D626" i="2"/>
  <c r="C626" i="2"/>
  <c r="B626" i="2"/>
  <c r="A626" i="2"/>
  <c r="N625" i="2"/>
  <c r="L625" i="2"/>
  <c r="K625" i="2"/>
  <c r="F625" i="2"/>
  <c r="E625" i="2"/>
  <c r="C625" i="2"/>
  <c r="B625" i="2"/>
  <c r="A625" i="2"/>
  <c r="N624" i="2"/>
  <c r="K624" i="2"/>
  <c r="F624" i="2"/>
  <c r="E624" i="2"/>
  <c r="C624" i="2"/>
  <c r="B624" i="2"/>
  <c r="A624" i="2"/>
  <c r="N623" i="2"/>
  <c r="J623" i="2"/>
  <c r="H623" i="2"/>
  <c r="F623" i="2"/>
  <c r="E623" i="2"/>
  <c r="C623" i="2"/>
  <c r="B623" i="2"/>
  <c r="A623" i="2"/>
  <c r="N622" i="2"/>
  <c r="K622" i="2"/>
  <c r="J622" i="2"/>
  <c r="F622" i="2"/>
  <c r="E622" i="2"/>
  <c r="C622" i="2"/>
  <c r="B622" i="2"/>
  <c r="A622" i="2"/>
  <c r="N621" i="2"/>
  <c r="K621" i="2"/>
  <c r="J621" i="2"/>
  <c r="F621" i="2"/>
  <c r="E621" i="2"/>
  <c r="C621" i="2"/>
  <c r="B621" i="2"/>
  <c r="A621" i="2"/>
  <c r="N620" i="2"/>
  <c r="K620" i="2"/>
  <c r="J620" i="2"/>
  <c r="F620" i="2"/>
  <c r="E620" i="2"/>
  <c r="C620" i="2"/>
  <c r="B620" i="2"/>
  <c r="A620" i="2"/>
  <c r="N619" i="2"/>
  <c r="K619" i="2"/>
  <c r="J619" i="2"/>
  <c r="G619" i="2"/>
  <c r="F619" i="2"/>
  <c r="E619" i="2"/>
  <c r="C619" i="2"/>
  <c r="B619" i="2"/>
  <c r="A619" i="2"/>
  <c r="N618" i="2"/>
  <c r="K618" i="2"/>
  <c r="F618" i="2"/>
  <c r="E618" i="2"/>
  <c r="C618" i="2"/>
  <c r="B618" i="2"/>
  <c r="A618" i="2"/>
  <c r="N617" i="2"/>
  <c r="K617" i="2"/>
  <c r="J617" i="2"/>
  <c r="F617" i="2"/>
  <c r="E617" i="2"/>
  <c r="C617" i="2"/>
  <c r="B617" i="2"/>
  <c r="A617" i="2"/>
  <c r="N616" i="2"/>
  <c r="K616" i="2"/>
  <c r="F616" i="2"/>
  <c r="E616" i="2"/>
  <c r="C616" i="2"/>
  <c r="B616" i="2"/>
  <c r="A616" i="2"/>
  <c r="N615" i="2"/>
  <c r="K615" i="2"/>
  <c r="F615" i="2"/>
  <c r="E615" i="2"/>
  <c r="C615" i="2"/>
  <c r="B615" i="2"/>
  <c r="A615" i="2"/>
  <c r="N614" i="2"/>
  <c r="K614" i="2"/>
  <c r="F614" i="2"/>
  <c r="E614" i="2"/>
  <c r="C614" i="2"/>
  <c r="B614" i="2"/>
  <c r="A614" i="2"/>
  <c r="N613" i="2"/>
  <c r="K613" i="2"/>
  <c r="J613" i="2"/>
  <c r="F613" i="2"/>
  <c r="E613" i="2"/>
  <c r="C613" i="2"/>
  <c r="B613" i="2"/>
  <c r="A613" i="2"/>
  <c r="N612" i="2"/>
  <c r="K612" i="2"/>
  <c r="F612" i="2"/>
  <c r="E612" i="2"/>
  <c r="D612" i="2"/>
  <c r="C612" i="2"/>
  <c r="B612" i="2"/>
  <c r="A612" i="2"/>
  <c r="N611" i="2"/>
  <c r="K611" i="2"/>
  <c r="F611" i="2"/>
  <c r="E611" i="2"/>
  <c r="D611" i="2"/>
  <c r="C611" i="2"/>
  <c r="B611" i="2"/>
  <c r="A611" i="2"/>
  <c r="N610" i="2"/>
  <c r="K610" i="2"/>
  <c r="F610" i="2"/>
  <c r="E610" i="2"/>
  <c r="D610" i="2"/>
  <c r="C610" i="2"/>
  <c r="B610" i="2"/>
  <c r="A610" i="2"/>
  <c r="N609" i="2"/>
  <c r="K609" i="2"/>
  <c r="J609" i="2"/>
  <c r="F609" i="2"/>
  <c r="E609" i="2"/>
  <c r="C609" i="2"/>
  <c r="B609" i="2"/>
  <c r="A609" i="2"/>
  <c r="N608" i="2"/>
  <c r="K608" i="2"/>
  <c r="J608" i="2"/>
  <c r="F608" i="2"/>
  <c r="E608" i="2"/>
  <c r="D608" i="2"/>
  <c r="C608" i="2"/>
  <c r="B608" i="2"/>
  <c r="A608" i="2"/>
  <c r="N607" i="2"/>
  <c r="K607" i="2"/>
  <c r="F607" i="2"/>
  <c r="E607" i="2"/>
  <c r="C607" i="2"/>
  <c r="B607" i="2"/>
  <c r="A607" i="2"/>
  <c r="N606" i="2"/>
  <c r="K606" i="2"/>
  <c r="J606" i="2"/>
  <c r="F606" i="2"/>
  <c r="E606" i="2"/>
  <c r="D606" i="2"/>
  <c r="C606" i="2"/>
  <c r="B606" i="2"/>
  <c r="A606" i="2"/>
  <c r="N605" i="2"/>
  <c r="F605" i="2"/>
  <c r="E605" i="2"/>
  <c r="C605" i="2"/>
  <c r="B605" i="2"/>
  <c r="A605" i="2"/>
  <c r="N604" i="2"/>
  <c r="K604" i="2"/>
  <c r="J604" i="2"/>
  <c r="F604" i="2"/>
  <c r="E604" i="2"/>
  <c r="C604" i="2"/>
  <c r="B604" i="2"/>
  <c r="A604" i="2"/>
  <c r="N603" i="2"/>
  <c r="K603" i="2"/>
  <c r="J603" i="2"/>
  <c r="F603" i="2"/>
  <c r="E603" i="2"/>
  <c r="C603" i="2"/>
  <c r="B603" i="2"/>
  <c r="A603" i="2"/>
  <c r="N602" i="2"/>
  <c r="K602" i="2"/>
  <c r="J602" i="2"/>
  <c r="F602" i="2"/>
  <c r="E602" i="2"/>
  <c r="D602" i="2"/>
  <c r="C602" i="2"/>
  <c r="B602" i="2"/>
  <c r="A602" i="2"/>
  <c r="N601" i="2"/>
  <c r="K601" i="2"/>
  <c r="J601" i="2"/>
  <c r="F601" i="2"/>
  <c r="E601" i="2"/>
  <c r="D601" i="2"/>
  <c r="C601" i="2"/>
  <c r="B601" i="2"/>
  <c r="A601" i="2"/>
  <c r="N600" i="2"/>
  <c r="K600" i="2"/>
  <c r="J600" i="2"/>
  <c r="F600" i="2"/>
  <c r="E600" i="2"/>
  <c r="C600" i="2"/>
  <c r="B600" i="2"/>
  <c r="A600" i="2"/>
  <c r="N599" i="2"/>
  <c r="F599" i="2"/>
  <c r="E599" i="2"/>
  <c r="C599" i="2"/>
  <c r="B599" i="2"/>
  <c r="A599" i="2"/>
  <c r="N598" i="2"/>
  <c r="K598" i="2"/>
  <c r="F598" i="2"/>
  <c r="E598" i="2"/>
  <c r="C598" i="2"/>
  <c r="B598" i="2"/>
  <c r="A598" i="2"/>
  <c r="N597" i="2"/>
  <c r="K597" i="2"/>
  <c r="F597" i="2"/>
  <c r="E597" i="2"/>
  <c r="D597" i="2"/>
  <c r="C597" i="2"/>
  <c r="B597" i="2"/>
  <c r="A597" i="2"/>
  <c r="N596" i="2"/>
  <c r="K596" i="2"/>
  <c r="J596" i="2"/>
  <c r="F596" i="2"/>
  <c r="E596" i="2"/>
  <c r="C596" i="2"/>
  <c r="B596" i="2"/>
  <c r="A596" i="2"/>
  <c r="N595" i="2"/>
  <c r="J595" i="2"/>
  <c r="F595" i="2"/>
  <c r="E595" i="2"/>
  <c r="C595" i="2"/>
  <c r="B595" i="2"/>
  <c r="A595" i="2"/>
  <c r="N594" i="2"/>
  <c r="K594" i="2"/>
  <c r="J594" i="2"/>
  <c r="F594" i="2"/>
  <c r="E594" i="2"/>
  <c r="C594" i="2"/>
  <c r="B594" i="2"/>
  <c r="A594" i="2"/>
  <c r="N593" i="2"/>
  <c r="K593" i="2"/>
  <c r="J593" i="2"/>
  <c r="F593" i="2"/>
  <c r="E593" i="2"/>
  <c r="C593" i="2"/>
  <c r="B593" i="2"/>
  <c r="A593" i="2"/>
  <c r="N592" i="2"/>
  <c r="K592" i="2"/>
  <c r="I592" i="2"/>
  <c r="F592" i="2"/>
  <c r="E592" i="2"/>
  <c r="C592" i="2"/>
  <c r="B592" i="2"/>
  <c r="A592" i="2"/>
  <c r="N591" i="2"/>
  <c r="K591" i="2"/>
  <c r="F591" i="2"/>
  <c r="E591" i="2"/>
  <c r="D591" i="2"/>
  <c r="C591" i="2"/>
  <c r="B591" i="2"/>
  <c r="A591" i="2"/>
  <c r="N590" i="2"/>
  <c r="K590" i="2"/>
  <c r="F590" i="2"/>
  <c r="E590" i="2"/>
  <c r="C590" i="2"/>
  <c r="B590" i="2"/>
  <c r="A590" i="2"/>
  <c r="N589" i="2"/>
  <c r="K589" i="2"/>
  <c r="J589" i="2"/>
  <c r="F589" i="2"/>
  <c r="E589" i="2"/>
  <c r="C589" i="2"/>
  <c r="B589" i="2"/>
  <c r="A589" i="2"/>
  <c r="N588" i="2"/>
  <c r="K588" i="2"/>
  <c r="J588" i="2"/>
  <c r="F588" i="2"/>
  <c r="E588" i="2"/>
  <c r="C588" i="2"/>
  <c r="B588" i="2"/>
  <c r="A588" i="2"/>
  <c r="N587" i="2"/>
  <c r="K587" i="2"/>
  <c r="J587" i="2"/>
  <c r="F587" i="2"/>
  <c r="E587" i="2"/>
  <c r="C587" i="2"/>
  <c r="B587" i="2"/>
  <c r="A587" i="2"/>
  <c r="N586" i="2"/>
  <c r="K586" i="2"/>
  <c r="J586" i="2"/>
  <c r="F586" i="2"/>
  <c r="E586" i="2"/>
  <c r="C586" i="2"/>
  <c r="B586" i="2"/>
  <c r="A586" i="2"/>
  <c r="N585" i="2"/>
  <c r="K585" i="2"/>
  <c r="F585" i="2"/>
  <c r="E585" i="2"/>
  <c r="C585" i="2"/>
  <c r="B585" i="2"/>
  <c r="A585" i="2"/>
  <c r="N584" i="2"/>
  <c r="K584" i="2"/>
  <c r="J584" i="2"/>
  <c r="F584" i="2"/>
  <c r="E584" i="2"/>
  <c r="C584" i="2"/>
  <c r="B584" i="2"/>
  <c r="A584" i="2"/>
  <c r="N583" i="2"/>
  <c r="L583" i="2"/>
  <c r="K583" i="2"/>
  <c r="F583" i="2"/>
  <c r="E583" i="2"/>
  <c r="C583" i="2"/>
  <c r="B583" i="2"/>
  <c r="A583" i="2"/>
  <c r="N582" i="2"/>
  <c r="K582" i="2"/>
  <c r="F582" i="2"/>
  <c r="E582" i="2"/>
  <c r="C582" i="2"/>
  <c r="B582" i="2"/>
  <c r="A582" i="2"/>
  <c r="N581" i="2"/>
  <c r="K581" i="2"/>
  <c r="J581" i="2"/>
  <c r="F581" i="2"/>
  <c r="E581" i="2"/>
  <c r="D581" i="2"/>
  <c r="C581" i="2"/>
  <c r="B581" i="2"/>
  <c r="A581" i="2"/>
  <c r="N580" i="2"/>
  <c r="K580" i="2"/>
  <c r="J580" i="2"/>
  <c r="F580" i="2"/>
  <c r="E580" i="2"/>
  <c r="C580" i="2"/>
  <c r="B580" i="2"/>
  <c r="A580" i="2"/>
  <c r="N579" i="2"/>
  <c r="K579" i="2"/>
  <c r="F579" i="2"/>
  <c r="E579" i="2"/>
  <c r="C579" i="2"/>
  <c r="B579" i="2"/>
  <c r="A579" i="2"/>
  <c r="N578" i="2"/>
  <c r="K578" i="2"/>
  <c r="F578" i="2"/>
  <c r="E578" i="2"/>
  <c r="C578" i="2"/>
  <c r="B578" i="2"/>
  <c r="A578" i="2"/>
  <c r="N577" i="2"/>
  <c r="K577" i="2"/>
  <c r="F577" i="2"/>
  <c r="E577" i="2"/>
  <c r="C577" i="2"/>
  <c r="B577" i="2"/>
  <c r="A577" i="2"/>
  <c r="N576" i="2"/>
  <c r="K576" i="2"/>
  <c r="J576" i="2"/>
  <c r="F576" i="2"/>
  <c r="E576" i="2"/>
  <c r="C576" i="2"/>
  <c r="B576" i="2"/>
  <c r="A576" i="2"/>
  <c r="N575" i="2"/>
  <c r="K575" i="2"/>
  <c r="J575" i="2"/>
  <c r="F575" i="2"/>
  <c r="E575" i="2"/>
  <c r="C575" i="2"/>
  <c r="B575" i="2"/>
  <c r="A575" i="2"/>
  <c r="N574" i="2"/>
  <c r="K574" i="2"/>
  <c r="F574" i="2"/>
  <c r="E574" i="2"/>
  <c r="C574" i="2"/>
  <c r="B574" i="2"/>
  <c r="A574" i="2"/>
  <c r="N573" i="2"/>
  <c r="K573" i="2"/>
  <c r="F573" i="2"/>
  <c r="E573" i="2"/>
  <c r="C573" i="2"/>
  <c r="B573" i="2"/>
  <c r="A573" i="2"/>
  <c r="N572" i="2"/>
  <c r="K572" i="2"/>
  <c r="F572" i="2"/>
  <c r="E572" i="2"/>
  <c r="C572" i="2"/>
  <c r="B572" i="2"/>
  <c r="A572" i="2"/>
  <c r="N571" i="2"/>
  <c r="K571" i="2"/>
  <c r="F571" i="2"/>
  <c r="E571" i="2"/>
  <c r="C571" i="2"/>
  <c r="B571" i="2"/>
  <c r="A571" i="2"/>
  <c r="N570" i="2"/>
  <c r="K570" i="2"/>
  <c r="F570" i="2"/>
  <c r="E570" i="2"/>
  <c r="C570" i="2"/>
  <c r="B570" i="2"/>
  <c r="A570" i="2"/>
  <c r="N569" i="2"/>
  <c r="J569" i="2"/>
  <c r="F569" i="2"/>
  <c r="E569" i="2"/>
  <c r="C569" i="2"/>
  <c r="B569" i="2"/>
  <c r="A569" i="2"/>
  <c r="N568" i="2"/>
  <c r="K568" i="2"/>
  <c r="F568" i="2"/>
  <c r="E568" i="2"/>
  <c r="C568" i="2"/>
  <c r="B568" i="2"/>
  <c r="A568" i="2"/>
  <c r="N567" i="2"/>
  <c r="F567" i="2"/>
  <c r="E567" i="2"/>
  <c r="C567" i="2"/>
  <c r="B567" i="2"/>
  <c r="A567" i="2"/>
  <c r="N566" i="2"/>
  <c r="F566" i="2"/>
  <c r="E566" i="2"/>
  <c r="D566" i="2"/>
  <c r="C566" i="2"/>
  <c r="B566" i="2"/>
  <c r="A566" i="2"/>
  <c r="N565" i="2"/>
  <c r="K565" i="2"/>
  <c r="J565" i="2"/>
  <c r="F565" i="2"/>
  <c r="E565" i="2"/>
  <c r="C565" i="2"/>
  <c r="B565" i="2"/>
  <c r="A565" i="2"/>
  <c r="N564" i="2"/>
  <c r="K564" i="2"/>
  <c r="J564" i="2"/>
  <c r="F564" i="2"/>
  <c r="E564" i="2"/>
  <c r="C564" i="2"/>
  <c r="B564" i="2"/>
  <c r="A564" i="2"/>
  <c r="N563" i="2"/>
  <c r="K563" i="2"/>
  <c r="F563" i="2"/>
  <c r="E563" i="2"/>
  <c r="C563" i="2"/>
  <c r="B563" i="2"/>
  <c r="A563" i="2"/>
  <c r="N562" i="2"/>
  <c r="K562" i="2"/>
  <c r="J562" i="2"/>
  <c r="F562" i="2"/>
  <c r="E562" i="2"/>
  <c r="D562" i="2"/>
  <c r="C562" i="2"/>
  <c r="B562" i="2"/>
  <c r="A562" i="2"/>
  <c r="N561" i="2"/>
  <c r="K561" i="2"/>
  <c r="F561" i="2"/>
  <c r="E561" i="2"/>
  <c r="C561" i="2"/>
  <c r="B561" i="2"/>
  <c r="A561" i="2"/>
  <c r="N560" i="2"/>
  <c r="K560" i="2"/>
  <c r="F560" i="2"/>
  <c r="E560" i="2"/>
  <c r="C560" i="2"/>
  <c r="B560" i="2"/>
  <c r="A560" i="2"/>
  <c r="N559" i="2"/>
  <c r="J559" i="2"/>
  <c r="F559" i="2"/>
  <c r="E559" i="2"/>
  <c r="C559" i="2"/>
  <c r="B559" i="2"/>
  <c r="A559" i="2"/>
  <c r="N558" i="2"/>
  <c r="K558" i="2"/>
  <c r="F558" i="2"/>
  <c r="E558" i="2"/>
  <c r="C558" i="2"/>
  <c r="B558" i="2"/>
  <c r="A558" i="2"/>
  <c r="N557" i="2"/>
  <c r="K557" i="2"/>
  <c r="J557" i="2"/>
  <c r="F557" i="2"/>
  <c r="E557" i="2"/>
  <c r="C557" i="2"/>
  <c r="B557" i="2"/>
  <c r="A557" i="2"/>
  <c r="N556" i="2"/>
  <c r="K556" i="2"/>
  <c r="J556" i="2"/>
  <c r="F556" i="2"/>
  <c r="E556" i="2"/>
  <c r="D556" i="2"/>
  <c r="C556" i="2"/>
  <c r="B556" i="2"/>
  <c r="A556" i="2"/>
  <c r="N555" i="2"/>
  <c r="K555" i="2"/>
  <c r="J555" i="2"/>
  <c r="F555" i="2"/>
  <c r="E555" i="2"/>
  <c r="D555" i="2"/>
  <c r="C555" i="2"/>
  <c r="B555" i="2"/>
  <c r="A555" i="2"/>
  <c r="N554" i="2"/>
  <c r="K554" i="2"/>
  <c r="F554" i="2"/>
  <c r="E554" i="2"/>
  <c r="C554" i="2"/>
  <c r="B554" i="2"/>
  <c r="A554" i="2"/>
  <c r="N553" i="2"/>
  <c r="K553" i="2"/>
  <c r="F553" i="2"/>
  <c r="E553" i="2"/>
  <c r="D553" i="2"/>
  <c r="C553" i="2"/>
  <c r="B553" i="2"/>
  <c r="A553" i="2"/>
  <c r="N552" i="2"/>
  <c r="K552" i="2"/>
  <c r="F552" i="2"/>
  <c r="E552" i="2"/>
  <c r="C552" i="2"/>
  <c r="B552" i="2"/>
  <c r="A552" i="2"/>
  <c r="N551" i="2"/>
  <c r="K551" i="2"/>
  <c r="J551" i="2"/>
  <c r="F551" i="2"/>
  <c r="E551" i="2"/>
  <c r="C551" i="2"/>
  <c r="B551" i="2"/>
  <c r="A551" i="2"/>
  <c r="N550" i="2"/>
  <c r="K550" i="2"/>
  <c r="J550" i="2"/>
  <c r="F550" i="2"/>
  <c r="E550" i="2"/>
  <c r="C550" i="2"/>
  <c r="B550" i="2"/>
  <c r="A550" i="2"/>
  <c r="N549" i="2"/>
  <c r="K549" i="2"/>
  <c r="F549" i="2"/>
  <c r="E549" i="2"/>
  <c r="D549" i="2"/>
  <c r="C549" i="2"/>
  <c r="B549" i="2"/>
  <c r="A549" i="2"/>
  <c r="N548" i="2"/>
  <c r="K548" i="2"/>
  <c r="F548" i="2"/>
  <c r="E548" i="2"/>
  <c r="C548" i="2"/>
  <c r="B548" i="2"/>
  <c r="A548" i="2"/>
  <c r="N547" i="2"/>
  <c r="K547" i="2"/>
  <c r="J547" i="2"/>
  <c r="F547" i="2"/>
  <c r="E547" i="2"/>
  <c r="C547" i="2"/>
  <c r="B547" i="2"/>
  <c r="A547" i="2"/>
  <c r="N546" i="2"/>
  <c r="K546" i="2"/>
  <c r="F546" i="2"/>
  <c r="E546" i="2"/>
  <c r="C546" i="2"/>
  <c r="B546" i="2"/>
  <c r="A546" i="2"/>
  <c r="N545" i="2"/>
  <c r="K545" i="2"/>
  <c r="F545" i="2"/>
  <c r="E545" i="2"/>
  <c r="C545" i="2"/>
  <c r="B545" i="2"/>
  <c r="A545" i="2"/>
  <c r="N544" i="2"/>
  <c r="K544" i="2"/>
  <c r="J544" i="2"/>
  <c r="F544" i="2"/>
  <c r="E544" i="2"/>
  <c r="C544" i="2"/>
  <c r="B544" i="2"/>
  <c r="A544" i="2"/>
  <c r="N543" i="2"/>
  <c r="K543" i="2"/>
  <c r="F543" i="2"/>
  <c r="E543" i="2"/>
  <c r="C543" i="2"/>
  <c r="B543" i="2"/>
  <c r="A543" i="2"/>
  <c r="N542" i="2"/>
  <c r="K542" i="2"/>
  <c r="H542" i="2"/>
  <c r="F542" i="2"/>
  <c r="E542" i="2"/>
  <c r="C542" i="2"/>
  <c r="B542" i="2"/>
  <c r="A542" i="2"/>
  <c r="N541" i="2"/>
  <c r="K541" i="2"/>
  <c r="J541" i="2"/>
  <c r="F541" i="2"/>
  <c r="E541" i="2"/>
  <c r="C541" i="2"/>
  <c r="B541" i="2"/>
  <c r="A541" i="2"/>
  <c r="N540" i="2"/>
  <c r="K540" i="2"/>
  <c r="J540" i="2"/>
  <c r="F540" i="2"/>
  <c r="E540" i="2"/>
  <c r="C540" i="2"/>
  <c r="B540" i="2"/>
  <c r="A540" i="2"/>
  <c r="N539" i="2"/>
  <c r="K539" i="2"/>
  <c r="F539" i="2"/>
  <c r="E539" i="2"/>
  <c r="C539" i="2"/>
  <c r="B539" i="2"/>
  <c r="A539" i="2"/>
  <c r="N538" i="2"/>
  <c r="K538" i="2"/>
  <c r="J538" i="2"/>
  <c r="F538" i="2"/>
  <c r="E538" i="2"/>
  <c r="C538" i="2"/>
  <c r="B538" i="2"/>
  <c r="A538" i="2"/>
  <c r="N537" i="2"/>
  <c r="I537" i="2"/>
  <c r="F537" i="2"/>
  <c r="E537" i="2"/>
  <c r="C537" i="2"/>
  <c r="B537" i="2"/>
  <c r="A537" i="2"/>
  <c r="N536" i="2"/>
  <c r="H536" i="2"/>
  <c r="G536" i="2"/>
  <c r="F536" i="2"/>
  <c r="E536" i="2"/>
  <c r="C536" i="2"/>
  <c r="B536" i="2"/>
  <c r="A536" i="2"/>
  <c r="N535" i="2"/>
  <c r="K535" i="2"/>
  <c r="F535" i="2"/>
  <c r="E535" i="2"/>
  <c r="C535" i="2"/>
  <c r="B535" i="2"/>
  <c r="A535" i="2"/>
  <c r="N534" i="2"/>
  <c r="K534" i="2"/>
  <c r="F534" i="2"/>
  <c r="E534" i="2"/>
  <c r="C534" i="2"/>
  <c r="B534" i="2"/>
  <c r="A534" i="2"/>
  <c r="N533" i="2"/>
  <c r="K533" i="2"/>
  <c r="J533" i="2"/>
  <c r="F533" i="2"/>
  <c r="E533" i="2"/>
  <c r="D533" i="2"/>
  <c r="C533" i="2"/>
  <c r="B533" i="2"/>
  <c r="A533" i="2"/>
  <c r="N532" i="2"/>
  <c r="K532" i="2"/>
  <c r="J532" i="2"/>
  <c r="F532" i="2"/>
  <c r="E532" i="2"/>
  <c r="C532" i="2"/>
  <c r="B532" i="2"/>
  <c r="A532" i="2"/>
  <c r="N531" i="2"/>
  <c r="F531" i="2"/>
  <c r="E531" i="2"/>
  <c r="C531" i="2"/>
  <c r="B531" i="2"/>
  <c r="A531" i="2"/>
  <c r="N530" i="2"/>
  <c r="K530" i="2"/>
  <c r="F530" i="2"/>
  <c r="E530" i="2"/>
  <c r="D530" i="2"/>
  <c r="C530" i="2"/>
  <c r="B530" i="2"/>
  <c r="A530" i="2"/>
  <c r="N529" i="2"/>
  <c r="K529" i="2"/>
  <c r="F529" i="2"/>
  <c r="E529" i="2"/>
  <c r="D529" i="2"/>
  <c r="C529" i="2"/>
  <c r="B529" i="2"/>
  <c r="A529" i="2"/>
  <c r="N528" i="2"/>
  <c r="K528" i="2"/>
  <c r="F528" i="2"/>
  <c r="E528" i="2"/>
  <c r="D528" i="2"/>
  <c r="C528" i="2"/>
  <c r="B528" i="2"/>
  <c r="A528" i="2"/>
  <c r="N527" i="2"/>
  <c r="K527" i="2"/>
  <c r="F527" i="2"/>
  <c r="E527" i="2"/>
  <c r="C527" i="2"/>
  <c r="B527" i="2"/>
  <c r="A527" i="2"/>
  <c r="N526" i="2"/>
  <c r="K526" i="2"/>
  <c r="J526" i="2"/>
  <c r="F526" i="2"/>
  <c r="E526" i="2"/>
  <c r="D526" i="2"/>
  <c r="C526" i="2"/>
  <c r="B526" i="2"/>
  <c r="A526" i="2"/>
  <c r="N525" i="2"/>
  <c r="J525" i="2"/>
  <c r="F525" i="2"/>
  <c r="E525" i="2"/>
  <c r="C525" i="2"/>
  <c r="B525" i="2"/>
  <c r="A525" i="2"/>
  <c r="N524" i="2"/>
  <c r="K524" i="2"/>
  <c r="J524" i="2"/>
  <c r="I524" i="2"/>
  <c r="F524" i="2"/>
  <c r="E524" i="2"/>
  <c r="C524" i="2"/>
  <c r="B524" i="2"/>
  <c r="A524" i="2"/>
  <c r="N523" i="2"/>
  <c r="K523" i="2"/>
  <c r="J523" i="2"/>
  <c r="F523" i="2"/>
  <c r="E523" i="2"/>
  <c r="C523" i="2"/>
  <c r="B523" i="2"/>
  <c r="A523" i="2"/>
  <c r="N522" i="2"/>
  <c r="K522" i="2"/>
  <c r="F522" i="2"/>
  <c r="E522" i="2"/>
  <c r="D522" i="2"/>
  <c r="C522" i="2"/>
  <c r="B522" i="2"/>
  <c r="A522" i="2"/>
  <c r="N521" i="2"/>
  <c r="K521" i="2"/>
  <c r="J521" i="2"/>
  <c r="F521" i="2"/>
  <c r="E521" i="2"/>
  <c r="C521" i="2"/>
  <c r="B521" i="2"/>
  <c r="A521" i="2"/>
  <c r="N520" i="2"/>
  <c r="K520" i="2"/>
  <c r="F520" i="2"/>
  <c r="E520" i="2"/>
  <c r="D520" i="2"/>
  <c r="C520" i="2"/>
  <c r="B520" i="2"/>
  <c r="A520" i="2"/>
  <c r="N519" i="2"/>
  <c r="K519" i="2"/>
  <c r="J519" i="2"/>
  <c r="F519" i="2"/>
  <c r="E519" i="2"/>
  <c r="C519" i="2"/>
  <c r="B519" i="2"/>
  <c r="A519" i="2"/>
  <c r="N518" i="2"/>
  <c r="K518" i="2"/>
  <c r="J518" i="2"/>
  <c r="I518" i="2"/>
  <c r="F518" i="2"/>
  <c r="E518" i="2"/>
  <c r="D518" i="2"/>
  <c r="C518" i="2"/>
  <c r="B518" i="2"/>
  <c r="A518" i="2"/>
  <c r="N517" i="2"/>
  <c r="K517" i="2"/>
  <c r="J517" i="2"/>
  <c r="F517" i="2"/>
  <c r="E517" i="2"/>
  <c r="C517" i="2"/>
  <c r="B517" i="2"/>
  <c r="A517" i="2"/>
  <c r="N516" i="2"/>
  <c r="F516" i="2"/>
  <c r="E516" i="2"/>
  <c r="C516" i="2"/>
  <c r="B516" i="2"/>
  <c r="A516" i="2"/>
  <c r="N515" i="2"/>
  <c r="K515" i="2"/>
  <c r="F515" i="2"/>
  <c r="E515" i="2"/>
  <c r="C515" i="2"/>
  <c r="B515" i="2"/>
  <c r="A515" i="2"/>
  <c r="N514" i="2"/>
  <c r="K514" i="2"/>
  <c r="F514" i="2"/>
  <c r="E514" i="2"/>
  <c r="D514" i="2"/>
  <c r="C514" i="2"/>
  <c r="B514" i="2"/>
  <c r="A514" i="2"/>
  <c r="N513" i="2"/>
  <c r="K513" i="2"/>
  <c r="F513" i="2"/>
  <c r="E513" i="2"/>
  <c r="C513" i="2"/>
  <c r="B513" i="2"/>
  <c r="A513" i="2"/>
  <c r="N512" i="2"/>
  <c r="K512" i="2"/>
  <c r="F512" i="2"/>
  <c r="E512" i="2"/>
  <c r="D512" i="2"/>
  <c r="C512" i="2"/>
  <c r="B512" i="2"/>
  <c r="A512" i="2"/>
  <c r="N511" i="2"/>
  <c r="F511" i="2"/>
  <c r="E511" i="2"/>
  <c r="C511" i="2"/>
  <c r="B511" i="2"/>
  <c r="A511" i="2"/>
  <c r="N510" i="2"/>
  <c r="F510" i="2"/>
  <c r="E510" i="2"/>
  <c r="C510" i="2"/>
  <c r="B510" i="2"/>
  <c r="A510" i="2"/>
  <c r="N509" i="2"/>
  <c r="J509" i="2"/>
  <c r="F509" i="2"/>
  <c r="E509" i="2"/>
  <c r="C509" i="2"/>
  <c r="B509" i="2"/>
  <c r="A509" i="2"/>
  <c r="N508" i="2"/>
  <c r="K508" i="2"/>
  <c r="J508" i="2"/>
  <c r="F508" i="2"/>
  <c r="E508" i="2"/>
  <c r="C508" i="2"/>
  <c r="B508" i="2"/>
  <c r="A508" i="2"/>
  <c r="N507" i="2"/>
  <c r="K507" i="2"/>
  <c r="J507" i="2"/>
  <c r="F507" i="2"/>
  <c r="E507" i="2"/>
  <c r="C507" i="2"/>
  <c r="B507" i="2"/>
  <c r="A507" i="2"/>
  <c r="N506" i="2"/>
  <c r="K506" i="2"/>
  <c r="F506" i="2"/>
  <c r="E506" i="2"/>
  <c r="C506" i="2"/>
  <c r="B506" i="2"/>
  <c r="A506" i="2"/>
  <c r="N505" i="2"/>
  <c r="K505" i="2"/>
  <c r="F505" i="2"/>
  <c r="E505" i="2"/>
  <c r="C505" i="2"/>
  <c r="B505" i="2"/>
  <c r="A505" i="2"/>
  <c r="N504" i="2"/>
  <c r="K504" i="2"/>
  <c r="F504" i="2"/>
  <c r="E504" i="2"/>
  <c r="C504" i="2"/>
  <c r="B504" i="2"/>
  <c r="A504" i="2"/>
  <c r="N503" i="2"/>
  <c r="K503" i="2"/>
  <c r="F503" i="2"/>
  <c r="E503" i="2"/>
  <c r="C503" i="2"/>
  <c r="B503" i="2"/>
  <c r="A503" i="2"/>
  <c r="N502" i="2"/>
  <c r="K502" i="2"/>
  <c r="F502" i="2"/>
  <c r="E502" i="2"/>
  <c r="C502" i="2"/>
  <c r="B502" i="2"/>
  <c r="A502" i="2"/>
  <c r="N501" i="2"/>
  <c r="K501" i="2"/>
  <c r="J501" i="2"/>
  <c r="F501" i="2"/>
  <c r="E501" i="2"/>
  <c r="C501" i="2"/>
  <c r="B501" i="2"/>
  <c r="A501" i="2"/>
  <c r="N500" i="2"/>
  <c r="K500" i="2"/>
  <c r="J500" i="2"/>
  <c r="F500" i="2"/>
  <c r="E500" i="2"/>
  <c r="C500" i="2"/>
  <c r="B500" i="2"/>
  <c r="A500" i="2"/>
  <c r="N499" i="2"/>
  <c r="K499" i="2"/>
  <c r="F499" i="2"/>
  <c r="E499" i="2"/>
  <c r="C499" i="2"/>
  <c r="B499" i="2"/>
  <c r="A499" i="2"/>
  <c r="N498" i="2"/>
  <c r="K498" i="2"/>
  <c r="F498" i="2"/>
  <c r="E498" i="2"/>
  <c r="C498" i="2"/>
  <c r="B498" i="2"/>
  <c r="A498" i="2"/>
  <c r="N497" i="2"/>
  <c r="K497" i="2"/>
  <c r="F497" i="2"/>
  <c r="E497" i="2"/>
  <c r="D497" i="2"/>
  <c r="C497" i="2"/>
  <c r="B497" i="2"/>
  <c r="A497" i="2"/>
  <c r="N496" i="2"/>
  <c r="K496" i="2"/>
  <c r="F496" i="2"/>
  <c r="E496" i="2"/>
  <c r="D496" i="2"/>
  <c r="C496" i="2"/>
  <c r="B496" i="2"/>
  <c r="A496" i="2"/>
  <c r="N495" i="2"/>
  <c r="K495" i="2"/>
  <c r="J495" i="2"/>
  <c r="F495" i="2"/>
  <c r="E495" i="2"/>
  <c r="C495" i="2"/>
  <c r="B495" i="2"/>
  <c r="A495" i="2"/>
  <c r="N494" i="2"/>
  <c r="K494" i="2"/>
  <c r="J494" i="2"/>
  <c r="F494" i="2"/>
  <c r="E494" i="2"/>
  <c r="C494" i="2"/>
  <c r="B494" i="2"/>
  <c r="A494" i="2"/>
  <c r="N493" i="2"/>
  <c r="K493" i="2"/>
  <c r="J493" i="2"/>
  <c r="F493" i="2"/>
  <c r="E493" i="2"/>
  <c r="C493" i="2"/>
  <c r="B493" i="2"/>
  <c r="A493" i="2"/>
  <c r="N492" i="2"/>
  <c r="K492" i="2"/>
  <c r="J492" i="2"/>
  <c r="F492" i="2"/>
  <c r="E492" i="2"/>
  <c r="C492" i="2"/>
  <c r="B492" i="2"/>
  <c r="A492" i="2"/>
  <c r="N491" i="2"/>
  <c r="K491" i="2"/>
  <c r="J491" i="2"/>
  <c r="F491" i="2"/>
  <c r="E491" i="2"/>
  <c r="C491" i="2"/>
  <c r="B491" i="2"/>
  <c r="A491" i="2"/>
  <c r="N490" i="2"/>
  <c r="F490" i="2"/>
  <c r="E490" i="2"/>
  <c r="C490" i="2"/>
  <c r="B490" i="2"/>
  <c r="A490" i="2"/>
  <c r="N489" i="2"/>
  <c r="K489" i="2"/>
  <c r="F489" i="2"/>
  <c r="E489" i="2"/>
  <c r="C489" i="2"/>
  <c r="B489" i="2"/>
  <c r="A489" i="2"/>
  <c r="N488" i="2"/>
  <c r="K488" i="2"/>
  <c r="J488" i="2"/>
  <c r="F488" i="2"/>
  <c r="E488" i="2"/>
  <c r="C488" i="2"/>
  <c r="B488" i="2"/>
  <c r="A488" i="2"/>
  <c r="N487" i="2"/>
  <c r="K487" i="2"/>
  <c r="F487" i="2"/>
  <c r="E487" i="2"/>
  <c r="C487" i="2"/>
  <c r="B487" i="2"/>
  <c r="A487" i="2"/>
  <c r="N486" i="2"/>
  <c r="K486" i="2"/>
  <c r="J486" i="2"/>
  <c r="I486" i="2"/>
  <c r="F486" i="2"/>
  <c r="E486" i="2"/>
  <c r="D486" i="2"/>
  <c r="C486" i="2"/>
  <c r="B486" i="2"/>
  <c r="A486" i="2"/>
  <c r="N485" i="2"/>
  <c r="K485" i="2"/>
  <c r="J485" i="2"/>
  <c r="F485" i="2"/>
  <c r="E485" i="2"/>
  <c r="C485" i="2"/>
  <c r="B485" i="2"/>
  <c r="A485" i="2"/>
  <c r="N484" i="2"/>
  <c r="K484" i="2"/>
  <c r="J484" i="2"/>
  <c r="F484" i="2"/>
  <c r="E484" i="2"/>
  <c r="C484" i="2"/>
  <c r="B484" i="2"/>
  <c r="A484" i="2"/>
  <c r="N483" i="2"/>
  <c r="K483" i="2"/>
  <c r="J483" i="2"/>
  <c r="F483" i="2"/>
  <c r="E483" i="2"/>
  <c r="C483" i="2"/>
  <c r="B483" i="2"/>
  <c r="A483" i="2"/>
  <c r="N482" i="2"/>
  <c r="K482" i="2"/>
  <c r="J482" i="2"/>
  <c r="F482" i="2"/>
  <c r="E482" i="2"/>
  <c r="C482" i="2"/>
  <c r="B482" i="2"/>
  <c r="A482" i="2"/>
  <c r="N481" i="2"/>
  <c r="K481" i="2"/>
  <c r="H481" i="2"/>
  <c r="F481" i="2"/>
  <c r="E481" i="2"/>
  <c r="C481" i="2"/>
  <c r="B481" i="2"/>
  <c r="A481" i="2"/>
  <c r="N480" i="2"/>
  <c r="K480" i="2"/>
  <c r="F480" i="2"/>
  <c r="E480" i="2"/>
  <c r="C480" i="2"/>
  <c r="B480" i="2"/>
  <c r="A480" i="2"/>
  <c r="N479" i="2"/>
  <c r="K479" i="2"/>
  <c r="F479" i="2"/>
  <c r="E479" i="2"/>
  <c r="C479" i="2"/>
  <c r="B479" i="2"/>
  <c r="A479" i="2"/>
  <c r="N478" i="2"/>
  <c r="K478" i="2"/>
  <c r="F478" i="2"/>
  <c r="E478" i="2"/>
  <c r="C478" i="2"/>
  <c r="B478" i="2"/>
  <c r="A478" i="2"/>
  <c r="N477" i="2"/>
  <c r="K477" i="2"/>
  <c r="F477" i="2"/>
  <c r="E477" i="2"/>
  <c r="C477" i="2"/>
  <c r="B477" i="2"/>
  <c r="A477" i="2"/>
  <c r="N476" i="2"/>
  <c r="K476" i="2"/>
  <c r="F476" i="2"/>
  <c r="E476" i="2"/>
  <c r="C476" i="2"/>
  <c r="B476" i="2"/>
  <c r="A476" i="2"/>
  <c r="N475" i="2"/>
  <c r="K475" i="2"/>
  <c r="F475" i="2"/>
  <c r="E475" i="2"/>
  <c r="C475" i="2"/>
  <c r="B475" i="2"/>
  <c r="A475" i="2"/>
  <c r="N474" i="2"/>
  <c r="K474" i="2"/>
  <c r="F474" i="2"/>
  <c r="E474" i="2"/>
  <c r="C474" i="2"/>
  <c r="B474" i="2"/>
  <c r="A474" i="2"/>
  <c r="N473" i="2"/>
  <c r="K473" i="2"/>
  <c r="F473" i="2"/>
  <c r="E473" i="2"/>
  <c r="C473" i="2"/>
  <c r="B473" i="2"/>
  <c r="A473" i="2"/>
  <c r="N472" i="2"/>
  <c r="K472" i="2"/>
  <c r="J472" i="2"/>
  <c r="F472" i="2"/>
  <c r="E472" i="2"/>
  <c r="C472" i="2"/>
  <c r="B472" i="2"/>
  <c r="A472" i="2"/>
  <c r="N471" i="2"/>
  <c r="K471" i="2"/>
  <c r="J471" i="2"/>
  <c r="F471" i="2"/>
  <c r="E471" i="2"/>
  <c r="C471" i="2"/>
  <c r="B471" i="2"/>
  <c r="A471" i="2"/>
  <c r="N470" i="2"/>
  <c r="K470" i="2"/>
  <c r="F470" i="2"/>
  <c r="E470" i="2"/>
  <c r="C470" i="2"/>
  <c r="B470" i="2"/>
  <c r="A470" i="2"/>
  <c r="N469" i="2"/>
  <c r="K469" i="2"/>
  <c r="I469" i="2"/>
  <c r="F469" i="2"/>
  <c r="E469" i="2"/>
  <c r="C469" i="2"/>
  <c r="B469" i="2"/>
  <c r="A469" i="2"/>
  <c r="N468" i="2"/>
  <c r="K468" i="2"/>
  <c r="F468" i="2"/>
  <c r="E468" i="2"/>
  <c r="C468" i="2"/>
  <c r="B468" i="2"/>
  <c r="A468" i="2"/>
  <c r="N467" i="2"/>
  <c r="K467" i="2"/>
  <c r="J467" i="2"/>
  <c r="F467" i="2"/>
  <c r="E467" i="2"/>
  <c r="C467" i="2"/>
  <c r="B467" i="2"/>
  <c r="A467" i="2"/>
  <c r="N466" i="2"/>
  <c r="K466" i="2"/>
  <c r="J466" i="2"/>
  <c r="F466" i="2"/>
  <c r="E466" i="2"/>
  <c r="C466" i="2"/>
  <c r="B466" i="2"/>
  <c r="A466" i="2"/>
  <c r="N465" i="2"/>
  <c r="K465" i="2"/>
  <c r="J465" i="2"/>
  <c r="F465" i="2"/>
  <c r="E465" i="2"/>
  <c r="C465" i="2"/>
  <c r="B465" i="2"/>
  <c r="A465" i="2"/>
  <c r="N464" i="2"/>
  <c r="K464" i="2"/>
  <c r="F464" i="2"/>
  <c r="E464" i="2"/>
  <c r="C464" i="2"/>
  <c r="B464" i="2"/>
  <c r="A464" i="2"/>
  <c r="N463" i="2"/>
  <c r="K463" i="2"/>
  <c r="J463" i="2"/>
  <c r="F463" i="2"/>
  <c r="E463" i="2"/>
  <c r="C463" i="2"/>
  <c r="B463" i="2"/>
  <c r="A463" i="2"/>
  <c r="N462" i="2"/>
  <c r="K462" i="2"/>
  <c r="F462" i="2"/>
  <c r="E462" i="2"/>
  <c r="C462" i="2"/>
  <c r="B462" i="2"/>
  <c r="A462" i="2"/>
  <c r="N461" i="2"/>
  <c r="K461" i="2"/>
  <c r="F461" i="2"/>
  <c r="E461" i="2"/>
  <c r="C461" i="2"/>
  <c r="B461" i="2"/>
  <c r="A461" i="2"/>
  <c r="N460" i="2"/>
  <c r="K460" i="2"/>
  <c r="J460" i="2"/>
  <c r="F460" i="2"/>
  <c r="E460" i="2"/>
  <c r="C460" i="2"/>
  <c r="B460" i="2"/>
  <c r="A460" i="2"/>
  <c r="N459" i="2"/>
  <c r="K459" i="2"/>
  <c r="F459" i="2"/>
  <c r="E459" i="2"/>
  <c r="D459" i="2"/>
  <c r="C459" i="2"/>
  <c r="B459" i="2"/>
  <c r="A459" i="2"/>
  <c r="N458" i="2"/>
  <c r="K458" i="2"/>
  <c r="J458" i="2"/>
  <c r="F458" i="2"/>
  <c r="E458" i="2"/>
  <c r="C458" i="2"/>
  <c r="B458" i="2"/>
  <c r="A458" i="2"/>
  <c r="N457" i="2"/>
  <c r="K457" i="2"/>
  <c r="F457" i="2"/>
  <c r="E457" i="2"/>
  <c r="C457" i="2"/>
  <c r="B457" i="2"/>
  <c r="A457" i="2"/>
  <c r="N456" i="2"/>
  <c r="J456" i="2"/>
  <c r="F456" i="2"/>
  <c r="E456" i="2"/>
  <c r="C456" i="2"/>
  <c r="B456" i="2"/>
  <c r="A456" i="2"/>
  <c r="N455" i="2"/>
  <c r="K455" i="2"/>
  <c r="J455" i="2"/>
  <c r="F455" i="2"/>
  <c r="E455" i="2"/>
  <c r="D455" i="2"/>
  <c r="C455" i="2"/>
  <c r="B455" i="2"/>
  <c r="A455" i="2"/>
  <c r="N454" i="2"/>
  <c r="K454" i="2"/>
  <c r="J454" i="2"/>
  <c r="F454" i="2"/>
  <c r="E454" i="2"/>
  <c r="D454" i="2"/>
  <c r="C454" i="2"/>
  <c r="B454" i="2"/>
  <c r="A454" i="2"/>
  <c r="N453" i="2"/>
  <c r="K453" i="2"/>
  <c r="J453" i="2"/>
  <c r="F453" i="2"/>
  <c r="E453" i="2"/>
  <c r="C453" i="2"/>
  <c r="B453" i="2"/>
  <c r="A453" i="2"/>
  <c r="N452" i="2"/>
  <c r="K452" i="2"/>
  <c r="J452" i="2"/>
  <c r="F452" i="2"/>
  <c r="E452" i="2"/>
  <c r="C452" i="2"/>
  <c r="B452" i="2"/>
  <c r="A452" i="2"/>
  <c r="N451" i="2"/>
  <c r="K451" i="2"/>
  <c r="F451" i="2"/>
  <c r="E451" i="2"/>
  <c r="D451" i="2"/>
  <c r="C451" i="2"/>
  <c r="B451" i="2"/>
  <c r="A451" i="2"/>
  <c r="N450" i="2"/>
  <c r="K450" i="2"/>
  <c r="F450" i="2"/>
  <c r="E450" i="2"/>
  <c r="C450" i="2"/>
  <c r="B450" i="2"/>
  <c r="A450" i="2"/>
  <c r="N449" i="2"/>
  <c r="K449" i="2"/>
  <c r="F449" i="2"/>
  <c r="E449" i="2"/>
  <c r="D449" i="2"/>
  <c r="C449" i="2"/>
  <c r="B449" i="2"/>
  <c r="A449" i="2"/>
  <c r="N448" i="2"/>
  <c r="K448" i="2"/>
  <c r="F448" i="2"/>
  <c r="E448" i="2"/>
  <c r="C448" i="2"/>
  <c r="B448" i="2"/>
  <c r="A448" i="2"/>
  <c r="N447" i="2"/>
  <c r="K447" i="2"/>
  <c r="F447" i="2"/>
  <c r="E447" i="2"/>
  <c r="C447" i="2"/>
  <c r="B447" i="2"/>
  <c r="A447" i="2"/>
  <c r="N446" i="2"/>
  <c r="K446" i="2"/>
  <c r="F446" i="2"/>
  <c r="E446" i="2"/>
  <c r="C446" i="2"/>
  <c r="B446" i="2"/>
  <c r="A446" i="2"/>
  <c r="N445" i="2"/>
  <c r="K445" i="2"/>
  <c r="F445" i="2"/>
  <c r="E445" i="2"/>
  <c r="C445" i="2"/>
  <c r="B445" i="2"/>
  <c r="A445" i="2"/>
  <c r="N444" i="2"/>
  <c r="K444" i="2"/>
  <c r="F444" i="2"/>
  <c r="E444" i="2"/>
  <c r="C444" i="2"/>
  <c r="B444" i="2"/>
  <c r="A444" i="2"/>
  <c r="N443" i="2"/>
  <c r="K443" i="2"/>
  <c r="F443" i="2"/>
  <c r="E443" i="2"/>
  <c r="C443" i="2"/>
  <c r="B443" i="2"/>
  <c r="A443" i="2"/>
  <c r="N442" i="2"/>
  <c r="K442" i="2"/>
  <c r="F442" i="2"/>
  <c r="E442" i="2"/>
  <c r="C442" i="2"/>
  <c r="B442" i="2"/>
  <c r="A442" i="2"/>
  <c r="N441" i="2"/>
  <c r="F441" i="2"/>
  <c r="E441" i="2"/>
  <c r="C441" i="2"/>
  <c r="B441" i="2"/>
  <c r="A441" i="2"/>
  <c r="N440" i="2"/>
  <c r="K440" i="2"/>
  <c r="F440" i="2"/>
  <c r="E440" i="2"/>
  <c r="C440" i="2"/>
  <c r="B440" i="2"/>
  <c r="A440" i="2"/>
  <c r="N439" i="2"/>
  <c r="K439" i="2"/>
  <c r="F439" i="2"/>
  <c r="E439" i="2"/>
  <c r="C439" i="2"/>
  <c r="B439" i="2"/>
  <c r="A439" i="2"/>
  <c r="N438" i="2"/>
  <c r="K438" i="2"/>
  <c r="F438" i="2"/>
  <c r="E438" i="2"/>
  <c r="C438" i="2"/>
  <c r="B438" i="2"/>
  <c r="A438" i="2"/>
  <c r="N437" i="2"/>
  <c r="K437" i="2"/>
  <c r="F437" i="2"/>
  <c r="E437" i="2"/>
  <c r="C437" i="2"/>
  <c r="B437" i="2"/>
  <c r="A437" i="2"/>
  <c r="N436" i="2"/>
  <c r="K436" i="2"/>
  <c r="F436" i="2"/>
  <c r="E436" i="2"/>
  <c r="C436" i="2"/>
  <c r="B436" i="2"/>
  <c r="A436" i="2"/>
  <c r="N435" i="2"/>
  <c r="F435" i="2"/>
  <c r="E435" i="2"/>
  <c r="C435" i="2"/>
  <c r="B435" i="2"/>
  <c r="A435" i="2"/>
  <c r="N434" i="2"/>
  <c r="K434" i="2"/>
  <c r="J434" i="2"/>
  <c r="F434" i="2"/>
  <c r="E434" i="2"/>
  <c r="C434" i="2"/>
  <c r="B434" i="2"/>
  <c r="A434" i="2"/>
  <c r="N433" i="2"/>
  <c r="K433" i="2"/>
  <c r="I433" i="2"/>
  <c r="F433" i="2"/>
  <c r="E433" i="2"/>
  <c r="C433" i="2"/>
  <c r="B433" i="2"/>
  <c r="A433" i="2"/>
  <c r="N432" i="2"/>
  <c r="K432" i="2"/>
  <c r="F432" i="2"/>
  <c r="E432" i="2"/>
  <c r="C432" i="2"/>
  <c r="B432" i="2"/>
  <c r="A432" i="2"/>
  <c r="N431" i="2"/>
  <c r="K431" i="2"/>
  <c r="F431" i="2"/>
  <c r="E431" i="2"/>
  <c r="C431" i="2"/>
  <c r="B431" i="2"/>
  <c r="A431" i="2"/>
  <c r="N430" i="2"/>
  <c r="K430" i="2"/>
  <c r="F430" i="2"/>
  <c r="E430" i="2"/>
  <c r="C430" i="2"/>
  <c r="B430" i="2"/>
  <c r="A430" i="2"/>
  <c r="N429" i="2"/>
  <c r="F429" i="2"/>
  <c r="E429" i="2"/>
  <c r="C429" i="2"/>
  <c r="B429" i="2"/>
  <c r="A429" i="2"/>
  <c r="N428" i="2"/>
  <c r="K428" i="2"/>
  <c r="F428" i="2"/>
  <c r="E428" i="2"/>
  <c r="C428" i="2"/>
  <c r="B428" i="2"/>
  <c r="A428" i="2"/>
  <c r="N427" i="2"/>
  <c r="K427" i="2"/>
  <c r="F427" i="2"/>
  <c r="E427" i="2"/>
  <c r="C427" i="2"/>
  <c r="B427" i="2"/>
  <c r="A427" i="2"/>
  <c r="N426" i="2"/>
  <c r="K426" i="2"/>
  <c r="J426" i="2"/>
  <c r="F426" i="2"/>
  <c r="E426" i="2"/>
  <c r="C426" i="2"/>
  <c r="B426" i="2"/>
  <c r="A426" i="2"/>
  <c r="N425" i="2"/>
  <c r="K425" i="2"/>
  <c r="F425" i="2"/>
  <c r="E425" i="2"/>
  <c r="C425" i="2"/>
  <c r="B425" i="2"/>
  <c r="A425" i="2"/>
  <c r="N424" i="2"/>
  <c r="F424" i="2"/>
  <c r="E424" i="2"/>
  <c r="C424" i="2"/>
  <c r="B424" i="2"/>
  <c r="A424" i="2"/>
  <c r="N423" i="2"/>
  <c r="K423" i="2"/>
  <c r="F423" i="2"/>
  <c r="E423" i="2"/>
  <c r="C423" i="2"/>
  <c r="B423" i="2"/>
  <c r="A423" i="2"/>
  <c r="N422" i="2"/>
  <c r="K422" i="2"/>
  <c r="G422" i="2"/>
  <c r="F422" i="2"/>
  <c r="E422" i="2"/>
  <c r="C422" i="2"/>
  <c r="B422" i="2"/>
  <c r="A422" i="2"/>
  <c r="N421" i="2"/>
  <c r="K421" i="2"/>
  <c r="J421" i="2"/>
  <c r="F421" i="2"/>
  <c r="E421" i="2"/>
  <c r="C421" i="2"/>
  <c r="B421" i="2"/>
  <c r="A421" i="2"/>
  <c r="N420" i="2"/>
  <c r="K420" i="2"/>
  <c r="F420" i="2"/>
  <c r="E420" i="2"/>
  <c r="C420" i="2"/>
  <c r="B420" i="2"/>
  <c r="A420" i="2"/>
  <c r="N419" i="2"/>
  <c r="K419" i="2"/>
  <c r="F419" i="2"/>
  <c r="E419" i="2"/>
  <c r="C419" i="2"/>
  <c r="B419" i="2"/>
  <c r="A419" i="2"/>
  <c r="N418" i="2"/>
  <c r="K418" i="2"/>
  <c r="F418" i="2"/>
  <c r="E418" i="2"/>
  <c r="C418" i="2"/>
  <c r="B418" i="2"/>
  <c r="A418" i="2"/>
  <c r="N417" i="2"/>
  <c r="K417" i="2"/>
  <c r="F417" i="2"/>
  <c r="E417" i="2"/>
  <c r="C417" i="2"/>
  <c r="B417" i="2"/>
  <c r="A417" i="2"/>
  <c r="N416" i="2"/>
  <c r="K416" i="2"/>
  <c r="F416" i="2"/>
  <c r="E416" i="2"/>
  <c r="C416" i="2"/>
  <c r="B416" i="2"/>
  <c r="A416" i="2"/>
  <c r="N415" i="2"/>
  <c r="K415" i="2"/>
  <c r="F415" i="2"/>
  <c r="E415" i="2"/>
  <c r="C415" i="2"/>
  <c r="B415" i="2"/>
  <c r="A415" i="2"/>
  <c r="N414" i="2"/>
  <c r="K414" i="2"/>
  <c r="J414" i="2"/>
  <c r="F414" i="2"/>
  <c r="E414" i="2"/>
  <c r="C414" i="2"/>
  <c r="B414" i="2"/>
  <c r="A414" i="2"/>
  <c r="N413" i="2"/>
  <c r="K413" i="2"/>
  <c r="F413" i="2"/>
  <c r="E413" i="2"/>
  <c r="C413" i="2"/>
  <c r="B413" i="2"/>
  <c r="A413" i="2"/>
  <c r="N412" i="2"/>
  <c r="L412" i="2"/>
  <c r="K412" i="2"/>
  <c r="J412" i="2"/>
  <c r="F412" i="2"/>
  <c r="E412" i="2"/>
  <c r="C412" i="2"/>
  <c r="B412" i="2"/>
  <c r="A412" i="2"/>
  <c r="N411" i="2"/>
  <c r="K411" i="2"/>
  <c r="J411" i="2"/>
  <c r="F411" i="2"/>
  <c r="E411" i="2"/>
  <c r="C411" i="2"/>
  <c r="B411" i="2"/>
  <c r="A411" i="2"/>
  <c r="N410" i="2"/>
  <c r="K410" i="2"/>
  <c r="F410" i="2"/>
  <c r="E410" i="2"/>
  <c r="C410" i="2"/>
  <c r="B410" i="2"/>
  <c r="A410" i="2"/>
  <c r="N409" i="2"/>
  <c r="K409" i="2"/>
  <c r="J409" i="2"/>
  <c r="F409" i="2"/>
  <c r="E409" i="2"/>
  <c r="C409" i="2"/>
  <c r="B409" i="2"/>
  <c r="A409" i="2"/>
  <c r="N408" i="2"/>
  <c r="K408" i="2"/>
  <c r="F408" i="2"/>
  <c r="E408" i="2"/>
  <c r="C408" i="2"/>
  <c r="B408" i="2"/>
  <c r="A408" i="2"/>
  <c r="N407" i="2"/>
  <c r="L407" i="2"/>
  <c r="K407" i="2"/>
  <c r="F407" i="2"/>
  <c r="E407" i="2"/>
  <c r="C407" i="2"/>
  <c r="B407" i="2"/>
  <c r="A407" i="2"/>
  <c r="N406" i="2"/>
  <c r="K406" i="2"/>
  <c r="F406" i="2"/>
  <c r="E406" i="2"/>
  <c r="C406" i="2"/>
  <c r="B406" i="2"/>
  <c r="A406" i="2"/>
  <c r="N405" i="2"/>
  <c r="K405" i="2"/>
  <c r="J405" i="2"/>
  <c r="F405" i="2"/>
  <c r="E405" i="2"/>
  <c r="C405" i="2"/>
  <c r="B405" i="2"/>
  <c r="A405" i="2"/>
  <c r="N404" i="2"/>
  <c r="K404" i="2"/>
  <c r="F404" i="2"/>
  <c r="E404" i="2"/>
  <c r="C404" i="2"/>
  <c r="B404" i="2"/>
  <c r="A404" i="2"/>
  <c r="N403" i="2"/>
  <c r="K403" i="2"/>
  <c r="F403" i="2"/>
  <c r="E403" i="2"/>
  <c r="C403" i="2"/>
  <c r="B403" i="2"/>
  <c r="A403" i="2"/>
  <c r="N402" i="2"/>
  <c r="K402" i="2"/>
  <c r="J402" i="2"/>
  <c r="F402" i="2"/>
  <c r="E402" i="2"/>
  <c r="C402" i="2"/>
  <c r="B402" i="2"/>
  <c r="A402" i="2"/>
  <c r="N401" i="2"/>
  <c r="K401" i="2"/>
  <c r="J401" i="2"/>
  <c r="G401" i="2"/>
  <c r="F401" i="2"/>
  <c r="E401" i="2"/>
  <c r="C401" i="2"/>
  <c r="B401" i="2"/>
  <c r="A401" i="2"/>
  <c r="N400" i="2"/>
  <c r="K400" i="2"/>
  <c r="F400" i="2"/>
  <c r="E400" i="2"/>
  <c r="C400" i="2"/>
  <c r="B400" i="2"/>
  <c r="A400" i="2"/>
  <c r="N399" i="2"/>
  <c r="K399" i="2"/>
  <c r="J399" i="2"/>
  <c r="F399" i="2"/>
  <c r="E399" i="2"/>
  <c r="C399" i="2"/>
  <c r="B399" i="2"/>
  <c r="A399" i="2"/>
  <c r="N398" i="2"/>
  <c r="K398" i="2"/>
  <c r="F398" i="2"/>
  <c r="E398" i="2"/>
  <c r="C398" i="2"/>
  <c r="B398" i="2"/>
  <c r="A398" i="2"/>
  <c r="N397" i="2"/>
  <c r="K397" i="2"/>
  <c r="F397" i="2"/>
  <c r="E397" i="2"/>
  <c r="C397" i="2"/>
  <c r="B397" i="2"/>
  <c r="A397" i="2"/>
  <c r="N396" i="2"/>
  <c r="K396" i="2"/>
  <c r="F396" i="2"/>
  <c r="E396" i="2"/>
  <c r="C396" i="2"/>
  <c r="B396" i="2"/>
  <c r="A396" i="2"/>
  <c r="N395" i="2"/>
  <c r="K395" i="2"/>
  <c r="J395" i="2"/>
  <c r="F395" i="2"/>
  <c r="E395" i="2"/>
  <c r="C395" i="2"/>
  <c r="B395" i="2"/>
  <c r="A395" i="2"/>
  <c r="N394" i="2"/>
  <c r="K394" i="2"/>
  <c r="F394" i="2"/>
  <c r="E394" i="2"/>
  <c r="C394" i="2"/>
  <c r="B394" i="2"/>
  <c r="A394" i="2"/>
  <c r="N393" i="2"/>
  <c r="F393" i="2"/>
  <c r="E393" i="2"/>
  <c r="C393" i="2"/>
  <c r="B393" i="2"/>
  <c r="A393" i="2"/>
  <c r="N392" i="2"/>
  <c r="K392" i="2"/>
  <c r="F392" i="2"/>
  <c r="E392" i="2"/>
  <c r="C392" i="2"/>
  <c r="B392" i="2"/>
  <c r="A392" i="2"/>
  <c r="N391" i="2"/>
  <c r="K391" i="2"/>
  <c r="F391" i="2"/>
  <c r="E391" i="2"/>
  <c r="C391" i="2"/>
  <c r="B391" i="2"/>
  <c r="A391" i="2"/>
  <c r="N390" i="2"/>
  <c r="K390" i="2"/>
  <c r="J390" i="2"/>
  <c r="F390" i="2"/>
  <c r="E390" i="2"/>
  <c r="C390" i="2"/>
  <c r="B390" i="2"/>
  <c r="A390" i="2"/>
  <c r="N389" i="2"/>
  <c r="K389" i="2"/>
  <c r="J389" i="2"/>
  <c r="F389" i="2"/>
  <c r="E389" i="2"/>
  <c r="C389" i="2"/>
  <c r="B389" i="2"/>
  <c r="A389" i="2"/>
  <c r="N388" i="2"/>
  <c r="K388" i="2"/>
  <c r="H388" i="2"/>
  <c r="F388" i="2"/>
  <c r="E388" i="2"/>
  <c r="D388" i="2"/>
  <c r="C388" i="2"/>
  <c r="B388" i="2"/>
  <c r="A388" i="2"/>
  <c r="N387" i="2"/>
  <c r="H387" i="2"/>
  <c r="F387" i="2"/>
  <c r="E387" i="2"/>
  <c r="D387" i="2"/>
  <c r="C387" i="2"/>
  <c r="B387" i="2"/>
  <c r="A387" i="2"/>
  <c r="N386" i="2"/>
  <c r="K386" i="2"/>
  <c r="J386" i="2"/>
  <c r="H386" i="2"/>
  <c r="F386" i="2"/>
  <c r="E386" i="2"/>
  <c r="D386" i="2"/>
  <c r="C386" i="2"/>
  <c r="B386" i="2"/>
  <c r="A386" i="2"/>
  <c r="N385" i="2"/>
  <c r="K385" i="2"/>
  <c r="J385" i="2"/>
  <c r="H385" i="2"/>
  <c r="F385" i="2"/>
  <c r="E385" i="2"/>
  <c r="D385" i="2"/>
  <c r="C385" i="2"/>
  <c r="B385" i="2"/>
  <c r="A385" i="2"/>
  <c r="N384" i="2"/>
  <c r="K384" i="2"/>
  <c r="H384" i="2"/>
  <c r="F384" i="2"/>
  <c r="E384" i="2"/>
  <c r="D384" i="2"/>
  <c r="C384" i="2"/>
  <c r="B384" i="2"/>
  <c r="A384" i="2"/>
  <c r="N383" i="2"/>
  <c r="K383" i="2"/>
  <c r="F383" i="2"/>
  <c r="E383" i="2"/>
  <c r="C383" i="2"/>
  <c r="B383" i="2"/>
  <c r="A383" i="2"/>
  <c r="N382" i="2"/>
  <c r="K382" i="2"/>
  <c r="F382" i="2"/>
  <c r="E382" i="2"/>
  <c r="D382" i="2"/>
  <c r="C382" i="2"/>
  <c r="B382" i="2"/>
  <c r="A382" i="2"/>
  <c r="N381" i="2"/>
  <c r="K381" i="2"/>
  <c r="F381" i="2"/>
  <c r="E381" i="2"/>
  <c r="D381" i="2"/>
  <c r="C381" i="2"/>
  <c r="B381" i="2"/>
  <c r="A381" i="2"/>
  <c r="N380" i="2"/>
  <c r="K380" i="2"/>
  <c r="F380" i="2"/>
  <c r="E380" i="2"/>
  <c r="D380" i="2"/>
  <c r="C380" i="2"/>
  <c r="B380" i="2"/>
  <c r="A380" i="2"/>
  <c r="N379" i="2"/>
  <c r="K379" i="2"/>
  <c r="H379" i="2"/>
  <c r="F379" i="2"/>
  <c r="E379" i="2"/>
  <c r="D379" i="2"/>
  <c r="C379" i="2"/>
  <c r="B379" i="2"/>
  <c r="A379" i="2"/>
  <c r="N378" i="2"/>
  <c r="K378" i="2"/>
  <c r="J378" i="2"/>
  <c r="F378" i="2"/>
  <c r="E378" i="2"/>
  <c r="D378" i="2"/>
  <c r="C378" i="2"/>
  <c r="B378" i="2"/>
  <c r="A378" i="2"/>
  <c r="N377" i="2"/>
  <c r="K377" i="2"/>
  <c r="F377" i="2"/>
  <c r="E377" i="2"/>
  <c r="D377" i="2"/>
  <c r="C377" i="2"/>
  <c r="B377" i="2"/>
  <c r="A377" i="2"/>
  <c r="N376" i="2"/>
  <c r="K376" i="2"/>
  <c r="F376" i="2"/>
  <c r="E376" i="2"/>
  <c r="C376" i="2"/>
  <c r="B376" i="2"/>
  <c r="A376" i="2"/>
  <c r="N375" i="2"/>
  <c r="K375" i="2"/>
  <c r="F375" i="2"/>
  <c r="E375" i="2"/>
  <c r="C375" i="2"/>
  <c r="B375" i="2"/>
  <c r="A375" i="2"/>
  <c r="N374" i="2"/>
  <c r="K374" i="2"/>
  <c r="J374" i="2"/>
  <c r="F374" i="2"/>
  <c r="E374" i="2"/>
  <c r="C374" i="2"/>
  <c r="B374" i="2"/>
  <c r="A374" i="2"/>
  <c r="N373" i="2"/>
  <c r="K373" i="2"/>
  <c r="J373" i="2"/>
  <c r="F373" i="2"/>
  <c r="E373" i="2"/>
  <c r="C373" i="2"/>
  <c r="B373" i="2"/>
  <c r="A373" i="2"/>
  <c r="N372" i="2"/>
  <c r="K372" i="2"/>
  <c r="J372" i="2"/>
  <c r="F372" i="2"/>
  <c r="E372" i="2"/>
  <c r="C372" i="2"/>
  <c r="B372" i="2"/>
  <c r="A372" i="2"/>
  <c r="N371" i="2"/>
  <c r="K371" i="2"/>
  <c r="F371" i="2"/>
  <c r="E371" i="2"/>
  <c r="C371" i="2"/>
  <c r="B371" i="2"/>
  <c r="A371" i="2"/>
  <c r="N370" i="2"/>
  <c r="K370" i="2"/>
  <c r="J370" i="2"/>
  <c r="F370" i="2"/>
  <c r="E370" i="2"/>
  <c r="C370" i="2"/>
  <c r="B370" i="2"/>
  <c r="A370" i="2"/>
  <c r="N369" i="2"/>
  <c r="K369" i="2"/>
  <c r="J369" i="2"/>
  <c r="F369" i="2"/>
  <c r="E369" i="2"/>
  <c r="C369" i="2"/>
  <c r="B369" i="2"/>
  <c r="A369" i="2"/>
  <c r="N368" i="2"/>
  <c r="K368" i="2"/>
  <c r="F368" i="2"/>
  <c r="E368" i="2"/>
  <c r="C368" i="2"/>
  <c r="B368" i="2"/>
  <c r="A368" i="2"/>
  <c r="N367" i="2"/>
  <c r="K367" i="2"/>
  <c r="F367" i="2"/>
  <c r="E367" i="2"/>
  <c r="D367" i="2"/>
  <c r="C367" i="2"/>
  <c r="B367" i="2"/>
  <c r="A367" i="2"/>
  <c r="N366" i="2"/>
  <c r="K366" i="2"/>
  <c r="J366" i="2"/>
  <c r="G366" i="2"/>
  <c r="F366" i="2"/>
  <c r="E366" i="2"/>
  <c r="C366" i="2"/>
  <c r="B366" i="2"/>
  <c r="A366" i="2"/>
  <c r="N365" i="2"/>
  <c r="K365" i="2"/>
  <c r="F365" i="2"/>
  <c r="E365" i="2"/>
  <c r="C365" i="2"/>
  <c r="B365" i="2"/>
  <c r="A365" i="2"/>
  <c r="N364" i="2"/>
  <c r="K364" i="2"/>
  <c r="F364" i="2"/>
  <c r="E364" i="2"/>
  <c r="C364" i="2"/>
  <c r="B364" i="2"/>
  <c r="A364" i="2"/>
  <c r="N363" i="2"/>
  <c r="K363" i="2"/>
  <c r="J363" i="2"/>
  <c r="F363" i="2"/>
  <c r="E363" i="2"/>
  <c r="C363" i="2"/>
  <c r="B363" i="2"/>
  <c r="A363" i="2"/>
  <c r="N362" i="2"/>
  <c r="K362" i="2"/>
  <c r="F362" i="2"/>
  <c r="E362" i="2"/>
  <c r="C362" i="2"/>
  <c r="B362" i="2"/>
  <c r="A362" i="2"/>
  <c r="N361" i="2"/>
  <c r="K361" i="2"/>
  <c r="F361" i="2"/>
  <c r="E361" i="2"/>
  <c r="C361" i="2"/>
  <c r="B361" i="2"/>
  <c r="A361" i="2"/>
  <c r="N360" i="2"/>
  <c r="K360" i="2"/>
  <c r="J360" i="2"/>
  <c r="F360" i="2"/>
  <c r="E360" i="2"/>
  <c r="C360" i="2"/>
  <c r="B360" i="2"/>
  <c r="A360" i="2"/>
  <c r="N359" i="2"/>
  <c r="K359" i="2"/>
  <c r="F359" i="2"/>
  <c r="E359" i="2"/>
  <c r="C359" i="2"/>
  <c r="B359" i="2"/>
  <c r="A359" i="2"/>
  <c r="N358" i="2"/>
  <c r="K358" i="2"/>
  <c r="J358" i="2"/>
  <c r="F358" i="2"/>
  <c r="E358" i="2"/>
  <c r="C358" i="2"/>
  <c r="B358" i="2"/>
  <c r="A358" i="2"/>
  <c r="N357" i="2"/>
  <c r="F357" i="2"/>
  <c r="E357" i="2"/>
  <c r="C357" i="2"/>
  <c r="B357" i="2"/>
  <c r="A357" i="2"/>
  <c r="N356" i="2"/>
  <c r="K356" i="2"/>
  <c r="J356" i="2"/>
  <c r="F356" i="2"/>
  <c r="E356" i="2"/>
  <c r="D356" i="2"/>
  <c r="C356" i="2"/>
  <c r="B356" i="2"/>
  <c r="A356" i="2"/>
  <c r="N355" i="2"/>
  <c r="K355" i="2"/>
  <c r="J355" i="2"/>
  <c r="F355" i="2"/>
  <c r="E355" i="2"/>
  <c r="C355" i="2"/>
  <c r="B355" i="2"/>
  <c r="A355" i="2"/>
  <c r="N354" i="2"/>
  <c r="K354" i="2"/>
  <c r="J354" i="2"/>
  <c r="I354" i="2"/>
  <c r="F354" i="2"/>
  <c r="E354" i="2"/>
  <c r="C354" i="2"/>
  <c r="B354" i="2"/>
  <c r="A354" i="2"/>
  <c r="N353" i="2"/>
  <c r="J353" i="2"/>
  <c r="F353" i="2"/>
  <c r="E353" i="2"/>
  <c r="C353" i="2"/>
  <c r="B353" i="2"/>
  <c r="A353" i="2"/>
  <c r="N352" i="2"/>
  <c r="J352" i="2"/>
  <c r="H352" i="2"/>
  <c r="F352" i="2"/>
  <c r="E352" i="2"/>
  <c r="C352" i="2"/>
  <c r="B352" i="2"/>
  <c r="A352" i="2"/>
  <c r="N351" i="2"/>
  <c r="J351" i="2"/>
  <c r="F351" i="2"/>
  <c r="E351" i="2"/>
  <c r="C351" i="2"/>
  <c r="B351" i="2"/>
  <c r="A351" i="2"/>
  <c r="N350" i="2"/>
  <c r="K350" i="2"/>
  <c r="F350" i="2"/>
  <c r="E350" i="2"/>
  <c r="C350" i="2"/>
  <c r="B350" i="2"/>
  <c r="A350" i="2"/>
  <c r="N349" i="2"/>
  <c r="K349" i="2"/>
  <c r="J349" i="2"/>
  <c r="F349" i="2"/>
  <c r="E349" i="2"/>
  <c r="C349" i="2"/>
  <c r="B349" i="2"/>
  <c r="A349" i="2"/>
  <c r="N348" i="2"/>
  <c r="K348" i="2"/>
  <c r="J348" i="2"/>
  <c r="F348" i="2"/>
  <c r="E348" i="2"/>
  <c r="C348" i="2"/>
  <c r="B348" i="2"/>
  <c r="A348" i="2"/>
  <c r="N347" i="2"/>
  <c r="K347" i="2"/>
  <c r="J347" i="2"/>
  <c r="H347" i="2"/>
  <c r="F347" i="2"/>
  <c r="E347" i="2"/>
  <c r="C347" i="2"/>
  <c r="B347" i="2"/>
  <c r="A347" i="2"/>
  <c r="N346" i="2"/>
  <c r="K346" i="2"/>
  <c r="F346" i="2"/>
  <c r="E346" i="2"/>
  <c r="C346" i="2"/>
  <c r="B346" i="2"/>
  <c r="A346" i="2"/>
  <c r="N345" i="2"/>
  <c r="K345" i="2"/>
  <c r="H345" i="2"/>
  <c r="F345" i="2"/>
  <c r="E345" i="2"/>
  <c r="C345" i="2"/>
  <c r="B345" i="2"/>
  <c r="A345" i="2"/>
  <c r="N344" i="2"/>
  <c r="K344" i="2"/>
  <c r="F344" i="2"/>
  <c r="E344" i="2"/>
  <c r="C344" i="2"/>
  <c r="B344" i="2"/>
  <c r="A344" i="2"/>
  <c r="N343" i="2"/>
  <c r="F343" i="2"/>
  <c r="E343" i="2"/>
  <c r="C343" i="2"/>
  <c r="B343" i="2"/>
  <c r="A343" i="2"/>
  <c r="N342" i="2"/>
  <c r="K342" i="2"/>
  <c r="F342" i="2"/>
  <c r="E342" i="2"/>
  <c r="C342" i="2"/>
  <c r="B342" i="2"/>
  <c r="A342" i="2"/>
  <c r="N341" i="2"/>
  <c r="K341" i="2"/>
  <c r="F341" i="2"/>
  <c r="E341" i="2"/>
  <c r="D341" i="2"/>
  <c r="C341" i="2"/>
  <c r="B341" i="2"/>
  <c r="A341" i="2"/>
  <c r="N340" i="2"/>
  <c r="K340" i="2"/>
  <c r="J340" i="2"/>
  <c r="F340" i="2"/>
  <c r="E340" i="2"/>
  <c r="C340" i="2"/>
  <c r="B340" i="2"/>
  <c r="A340" i="2"/>
  <c r="N339" i="2"/>
  <c r="K339" i="2"/>
  <c r="J339" i="2"/>
  <c r="F339" i="2"/>
  <c r="E339" i="2"/>
  <c r="D339" i="2"/>
  <c r="C339" i="2"/>
  <c r="B339" i="2"/>
  <c r="A339" i="2"/>
  <c r="N338" i="2"/>
  <c r="K338" i="2"/>
  <c r="J338" i="2"/>
  <c r="F338" i="2"/>
  <c r="E338" i="2"/>
  <c r="D338" i="2"/>
  <c r="C338" i="2"/>
  <c r="B338" i="2"/>
  <c r="A338" i="2"/>
  <c r="N337" i="2"/>
  <c r="K337" i="2"/>
  <c r="H337" i="2"/>
  <c r="F337" i="2"/>
  <c r="E337" i="2"/>
  <c r="D337" i="2"/>
  <c r="C337" i="2"/>
  <c r="B337" i="2"/>
  <c r="A337" i="2"/>
  <c r="N336" i="2"/>
  <c r="K336" i="2"/>
  <c r="J336" i="2"/>
  <c r="I336" i="2"/>
  <c r="F336" i="2"/>
  <c r="E336" i="2"/>
  <c r="D336" i="2"/>
  <c r="C336" i="2"/>
  <c r="B336" i="2"/>
  <c r="A336" i="2"/>
  <c r="N335" i="2"/>
  <c r="K335" i="2"/>
  <c r="J335" i="2"/>
  <c r="F335" i="2"/>
  <c r="E335" i="2"/>
  <c r="C335" i="2"/>
  <c r="B335" i="2"/>
  <c r="A335" i="2"/>
  <c r="N334" i="2"/>
  <c r="K334" i="2"/>
  <c r="F334" i="2"/>
  <c r="E334" i="2"/>
  <c r="C334" i="2"/>
  <c r="B334" i="2"/>
  <c r="A334" i="2"/>
  <c r="N333" i="2"/>
  <c r="K333" i="2"/>
  <c r="F333" i="2"/>
  <c r="E333" i="2"/>
  <c r="C333" i="2"/>
  <c r="B333" i="2"/>
  <c r="A333" i="2"/>
  <c r="N332" i="2"/>
  <c r="K332" i="2"/>
  <c r="F332" i="2"/>
  <c r="E332" i="2"/>
  <c r="C332" i="2"/>
  <c r="B332" i="2"/>
  <c r="A332" i="2"/>
  <c r="N331" i="2"/>
  <c r="K331" i="2"/>
  <c r="J331" i="2"/>
  <c r="F331" i="2"/>
  <c r="E331" i="2"/>
  <c r="C331" i="2"/>
  <c r="B331" i="2"/>
  <c r="A331" i="2"/>
  <c r="N330" i="2"/>
  <c r="K330" i="2"/>
  <c r="F330" i="2"/>
  <c r="E330" i="2"/>
  <c r="D330" i="2"/>
  <c r="C330" i="2"/>
  <c r="B330" i="2"/>
  <c r="A330" i="2"/>
  <c r="N329" i="2"/>
  <c r="K329" i="2"/>
  <c r="F329" i="2"/>
  <c r="E329" i="2"/>
  <c r="C329" i="2"/>
  <c r="B329" i="2"/>
  <c r="A329" i="2"/>
  <c r="N328" i="2"/>
  <c r="L328" i="2"/>
  <c r="K328" i="2"/>
  <c r="F328" i="2"/>
  <c r="E328" i="2"/>
  <c r="C328" i="2"/>
  <c r="B328" i="2"/>
  <c r="A328" i="2"/>
  <c r="N327" i="2"/>
  <c r="K327" i="2"/>
  <c r="J327" i="2"/>
  <c r="F327" i="2"/>
  <c r="E327" i="2"/>
  <c r="C327" i="2"/>
  <c r="B327" i="2"/>
  <c r="A327" i="2"/>
  <c r="N326" i="2"/>
  <c r="K326" i="2"/>
  <c r="F326" i="2"/>
  <c r="E326" i="2"/>
  <c r="C326" i="2"/>
  <c r="B326" i="2"/>
  <c r="A326" i="2"/>
  <c r="N325" i="2"/>
  <c r="K325" i="2"/>
  <c r="J325" i="2"/>
  <c r="F325" i="2"/>
  <c r="E325" i="2"/>
  <c r="C325" i="2"/>
  <c r="B325" i="2"/>
  <c r="A325" i="2"/>
  <c r="N324" i="2"/>
  <c r="K324" i="2"/>
  <c r="F324" i="2"/>
  <c r="E324" i="2"/>
  <c r="C324" i="2"/>
  <c r="B324" i="2"/>
  <c r="A324" i="2"/>
  <c r="N323" i="2"/>
  <c r="H323" i="2"/>
  <c r="F323" i="2"/>
  <c r="E323" i="2"/>
  <c r="C323" i="2"/>
  <c r="B323" i="2"/>
  <c r="A323" i="2"/>
  <c r="N322" i="2"/>
  <c r="K322" i="2"/>
  <c r="J322" i="2"/>
  <c r="F322" i="2"/>
  <c r="E322" i="2"/>
  <c r="C322" i="2"/>
  <c r="B322" i="2"/>
  <c r="A322" i="2"/>
  <c r="N321" i="2"/>
  <c r="K321" i="2"/>
  <c r="F321" i="2"/>
  <c r="E321" i="2"/>
  <c r="C321" i="2"/>
  <c r="B321" i="2"/>
  <c r="A321" i="2"/>
  <c r="N320" i="2"/>
  <c r="K320" i="2"/>
  <c r="F320" i="2"/>
  <c r="E320" i="2"/>
  <c r="C320" i="2"/>
  <c r="B320" i="2"/>
  <c r="A320" i="2"/>
  <c r="N319" i="2"/>
  <c r="K319" i="2"/>
  <c r="J319" i="2"/>
  <c r="F319" i="2"/>
  <c r="E319" i="2"/>
  <c r="C319" i="2"/>
  <c r="B319" i="2"/>
  <c r="A319" i="2"/>
  <c r="N318" i="2"/>
  <c r="J318" i="2"/>
  <c r="F318" i="2"/>
  <c r="E318" i="2"/>
  <c r="C318" i="2"/>
  <c r="B318" i="2"/>
  <c r="A318" i="2"/>
  <c r="N317" i="2"/>
  <c r="K317" i="2"/>
  <c r="F317" i="2"/>
  <c r="E317" i="2"/>
  <c r="C317" i="2"/>
  <c r="B317" i="2"/>
  <c r="A317" i="2"/>
  <c r="N316" i="2"/>
  <c r="F316" i="2"/>
  <c r="E316" i="2"/>
  <c r="D316" i="2"/>
  <c r="C316" i="2"/>
  <c r="B316" i="2"/>
  <c r="A316" i="2"/>
  <c r="N315" i="2"/>
  <c r="F315" i="2"/>
  <c r="E315" i="2"/>
  <c r="D315" i="2"/>
  <c r="C315" i="2"/>
  <c r="B315" i="2"/>
  <c r="A315" i="2"/>
  <c r="N314" i="2"/>
  <c r="F314" i="2"/>
  <c r="E314" i="2"/>
  <c r="D314" i="2"/>
  <c r="C314" i="2"/>
  <c r="B314" i="2"/>
  <c r="A314" i="2"/>
  <c r="N313" i="2"/>
  <c r="K313" i="2"/>
  <c r="H313" i="2"/>
  <c r="F313" i="2"/>
  <c r="E313" i="2"/>
  <c r="C313" i="2"/>
  <c r="B313" i="2"/>
  <c r="A313" i="2"/>
  <c r="N312" i="2"/>
  <c r="K312" i="2"/>
  <c r="F312" i="2"/>
  <c r="E312" i="2"/>
  <c r="C312" i="2"/>
  <c r="B312" i="2"/>
  <c r="A312" i="2"/>
  <c r="N311" i="2"/>
  <c r="K311" i="2"/>
  <c r="F311" i="2"/>
  <c r="E311" i="2"/>
  <c r="C311" i="2"/>
  <c r="B311" i="2"/>
  <c r="A311" i="2"/>
  <c r="N310" i="2"/>
  <c r="K310" i="2"/>
  <c r="F310" i="2"/>
  <c r="E310" i="2"/>
  <c r="C310" i="2"/>
  <c r="B310" i="2"/>
  <c r="A310" i="2"/>
  <c r="N309" i="2"/>
  <c r="K309" i="2"/>
  <c r="J309" i="2"/>
  <c r="F309" i="2"/>
  <c r="E309" i="2"/>
  <c r="C309" i="2"/>
  <c r="B309" i="2"/>
  <c r="A309" i="2"/>
  <c r="N308" i="2"/>
  <c r="K308" i="2"/>
  <c r="H308" i="2"/>
  <c r="F308" i="2"/>
  <c r="E308" i="2"/>
  <c r="C308" i="2"/>
  <c r="B308" i="2"/>
  <c r="A308" i="2"/>
  <c r="N307" i="2"/>
  <c r="K307" i="2"/>
  <c r="J307" i="2"/>
  <c r="F307" i="2"/>
  <c r="E307" i="2"/>
  <c r="C307" i="2"/>
  <c r="B307" i="2"/>
  <c r="A307" i="2"/>
  <c r="N306" i="2"/>
  <c r="K306" i="2"/>
  <c r="F306" i="2"/>
  <c r="E306" i="2"/>
  <c r="C306" i="2"/>
  <c r="B306" i="2"/>
  <c r="A306" i="2"/>
  <c r="N305" i="2"/>
  <c r="K305" i="2"/>
  <c r="F305" i="2"/>
  <c r="E305" i="2"/>
  <c r="D305" i="2"/>
  <c r="C305" i="2"/>
  <c r="B305" i="2"/>
  <c r="A305" i="2"/>
  <c r="N304" i="2"/>
  <c r="K304" i="2"/>
  <c r="J304" i="2"/>
  <c r="F304" i="2"/>
  <c r="E304" i="2"/>
  <c r="C304" i="2"/>
  <c r="B304" i="2"/>
  <c r="A304" i="2"/>
  <c r="N303" i="2"/>
  <c r="K303" i="2"/>
  <c r="J303" i="2"/>
  <c r="F303" i="2"/>
  <c r="E303" i="2"/>
  <c r="C303" i="2"/>
  <c r="B303" i="2"/>
  <c r="A303" i="2"/>
  <c r="N302" i="2"/>
  <c r="K302" i="2"/>
  <c r="F302" i="2"/>
  <c r="E302" i="2"/>
  <c r="C302" i="2"/>
  <c r="B302" i="2"/>
  <c r="A302" i="2"/>
  <c r="N301" i="2"/>
  <c r="J301" i="2"/>
  <c r="F301" i="2"/>
  <c r="E301" i="2"/>
  <c r="C301" i="2"/>
  <c r="B301" i="2"/>
  <c r="A301" i="2"/>
  <c r="N300" i="2"/>
  <c r="K300" i="2"/>
  <c r="F300" i="2"/>
  <c r="E300" i="2"/>
  <c r="C300" i="2"/>
  <c r="B300" i="2"/>
  <c r="A300" i="2"/>
  <c r="N299" i="2"/>
  <c r="K299" i="2"/>
  <c r="G299" i="2"/>
  <c r="F299" i="2"/>
  <c r="E299" i="2"/>
  <c r="C299" i="2"/>
  <c r="B299" i="2"/>
  <c r="A299" i="2"/>
  <c r="N298" i="2"/>
  <c r="K298" i="2"/>
  <c r="F298" i="2"/>
  <c r="E298" i="2"/>
  <c r="C298" i="2"/>
  <c r="B298" i="2"/>
  <c r="A298" i="2"/>
  <c r="N297" i="2"/>
  <c r="K297" i="2"/>
  <c r="F297" i="2"/>
  <c r="E297" i="2"/>
  <c r="C297" i="2"/>
  <c r="B297" i="2"/>
  <c r="A297" i="2"/>
  <c r="N296" i="2"/>
  <c r="K296" i="2"/>
  <c r="J296" i="2"/>
  <c r="F296" i="2"/>
  <c r="E296" i="2"/>
  <c r="C296" i="2"/>
  <c r="B296" i="2"/>
  <c r="A296" i="2"/>
  <c r="N295" i="2"/>
  <c r="H295" i="2"/>
  <c r="F295" i="2"/>
  <c r="E295" i="2"/>
  <c r="C295" i="2"/>
  <c r="B295" i="2"/>
  <c r="A295" i="2"/>
  <c r="N294" i="2"/>
  <c r="K294" i="2"/>
  <c r="J294" i="2"/>
  <c r="F294" i="2"/>
  <c r="E294" i="2"/>
  <c r="C294" i="2"/>
  <c r="B294" i="2"/>
  <c r="A294" i="2"/>
  <c r="N293" i="2"/>
  <c r="F293" i="2"/>
  <c r="E293" i="2"/>
  <c r="C293" i="2"/>
  <c r="B293" i="2"/>
  <c r="A293" i="2"/>
  <c r="N292" i="2"/>
  <c r="F292" i="2"/>
  <c r="E292" i="2"/>
  <c r="C292" i="2"/>
  <c r="B292" i="2"/>
  <c r="A292" i="2"/>
  <c r="N291" i="2"/>
  <c r="K291" i="2"/>
  <c r="J291" i="2"/>
  <c r="F291" i="2"/>
  <c r="E291" i="2"/>
  <c r="C291" i="2"/>
  <c r="B291" i="2"/>
  <c r="A291" i="2"/>
  <c r="N290" i="2"/>
  <c r="F290" i="2"/>
  <c r="E290" i="2"/>
  <c r="C290" i="2"/>
  <c r="B290" i="2"/>
  <c r="A290" i="2"/>
  <c r="N289" i="2"/>
  <c r="K289" i="2"/>
  <c r="J289" i="2"/>
  <c r="F289" i="2"/>
  <c r="E289" i="2"/>
  <c r="C289" i="2"/>
  <c r="B289" i="2"/>
  <c r="A289" i="2"/>
  <c r="N288" i="2"/>
  <c r="K288" i="2"/>
  <c r="J288" i="2"/>
  <c r="G288" i="2"/>
  <c r="F288" i="2"/>
  <c r="E288" i="2"/>
  <c r="C288" i="2"/>
  <c r="B288" i="2"/>
  <c r="A288" i="2"/>
  <c r="N287" i="2"/>
  <c r="K287" i="2"/>
  <c r="J287" i="2"/>
  <c r="F287" i="2"/>
  <c r="E287" i="2"/>
  <c r="D287" i="2"/>
  <c r="C287" i="2"/>
  <c r="B287" i="2"/>
  <c r="A287" i="2"/>
  <c r="N286" i="2"/>
  <c r="K286" i="2"/>
  <c r="F286" i="2"/>
  <c r="E286" i="2"/>
  <c r="D286" i="2"/>
  <c r="C286" i="2"/>
  <c r="B286" i="2"/>
  <c r="A286" i="2"/>
  <c r="N285" i="2"/>
  <c r="K285" i="2"/>
  <c r="F285" i="2"/>
  <c r="E285" i="2"/>
  <c r="C285" i="2"/>
  <c r="B285" i="2"/>
  <c r="A285" i="2"/>
  <c r="N284" i="2"/>
  <c r="J284" i="2"/>
  <c r="F284" i="2"/>
  <c r="E284" i="2"/>
  <c r="C284" i="2"/>
  <c r="B284" i="2"/>
  <c r="A284" i="2"/>
  <c r="N283" i="2"/>
  <c r="K283" i="2"/>
  <c r="J283" i="2"/>
  <c r="F283" i="2"/>
  <c r="E283" i="2"/>
  <c r="C283" i="2"/>
  <c r="B283" i="2"/>
  <c r="A283" i="2"/>
  <c r="N282" i="2"/>
  <c r="K282" i="2"/>
  <c r="F282" i="2"/>
  <c r="E282" i="2"/>
  <c r="C282" i="2"/>
  <c r="B282" i="2"/>
  <c r="A282" i="2"/>
  <c r="N281" i="2"/>
  <c r="K281" i="2"/>
  <c r="J281" i="2"/>
  <c r="F281" i="2"/>
  <c r="E281" i="2"/>
  <c r="D281" i="2"/>
  <c r="C281" i="2"/>
  <c r="B281" i="2"/>
  <c r="A281" i="2"/>
  <c r="N280" i="2"/>
  <c r="F280" i="2"/>
  <c r="E280" i="2"/>
  <c r="C280" i="2"/>
  <c r="B280" i="2"/>
  <c r="A280" i="2"/>
  <c r="N279" i="2"/>
  <c r="K279" i="2"/>
  <c r="F279" i="2"/>
  <c r="E279" i="2"/>
  <c r="C279" i="2"/>
  <c r="B279" i="2"/>
  <c r="A279" i="2"/>
  <c r="N278" i="2"/>
  <c r="K278" i="2"/>
  <c r="J278" i="2"/>
  <c r="F278" i="2"/>
  <c r="E278" i="2"/>
  <c r="C278" i="2"/>
  <c r="B278" i="2"/>
  <c r="A278" i="2"/>
  <c r="N277" i="2"/>
  <c r="K277" i="2"/>
  <c r="J277" i="2"/>
  <c r="F277" i="2"/>
  <c r="E277" i="2"/>
  <c r="C277" i="2"/>
  <c r="B277" i="2"/>
  <c r="A277" i="2"/>
  <c r="N276" i="2"/>
  <c r="K276" i="2"/>
  <c r="G276" i="2"/>
  <c r="F276" i="2"/>
  <c r="E276" i="2"/>
  <c r="C276" i="2"/>
  <c r="B276" i="2"/>
  <c r="A276" i="2"/>
  <c r="N275" i="2"/>
  <c r="F275" i="2"/>
  <c r="E275" i="2"/>
  <c r="C275" i="2"/>
  <c r="B275" i="2"/>
  <c r="A275" i="2"/>
  <c r="N274" i="2"/>
  <c r="K274" i="2"/>
  <c r="J274" i="2"/>
  <c r="F274" i="2"/>
  <c r="E274" i="2"/>
  <c r="C274" i="2"/>
  <c r="B274" i="2"/>
  <c r="A274" i="2"/>
  <c r="N273" i="2"/>
  <c r="K273" i="2"/>
  <c r="J273" i="2"/>
  <c r="F273" i="2"/>
  <c r="E273" i="2"/>
  <c r="C273" i="2"/>
  <c r="B273" i="2"/>
  <c r="A273" i="2"/>
  <c r="N272" i="2"/>
  <c r="K272" i="2"/>
  <c r="F272" i="2"/>
  <c r="E272" i="2"/>
  <c r="C272" i="2"/>
  <c r="B272" i="2"/>
  <c r="A272" i="2"/>
  <c r="N271" i="2"/>
  <c r="K271" i="2"/>
  <c r="F271" i="2"/>
  <c r="E271" i="2"/>
  <c r="C271" i="2"/>
  <c r="B271" i="2"/>
  <c r="A271" i="2"/>
  <c r="N270" i="2"/>
  <c r="K270" i="2"/>
  <c r="J270" i="2"/>
  <c r="H270" i="2"/>
  <c r="F270" i="2"/>
  <c r="E270" i="2"/>
  <c r="D270" i="2"/>
  <c r="C270" i="2"/>
  <c r="B270" i="2"/>
  <c r="A270" i="2"/>
  <c r="N269" i="2"/>
  <c r="K269" i="2"/>
  <c r="J269" i="2"/>
  <c r="F269" i="2"/>
  <c r="E269" i="2"/>
  <c r="C269" i="2"/>
  <c r="B269" i="2"/>
  <c r="A269" i="2"/>
  <c r="N268" i="2"/>
  <c r="K268" i="2"/>
  <c r="J268" i="2"/>
  <c r="F268" i="2"/>
  <c r="E268" i="2"/>
  <c r="C268" i="2"/>
  <c r="B268" i="2"/>
  <c r="A268" i="2"/>
  <c r="N267" i="2"/>
  <c r="K267" i="2"/>
  <c r="F267" i="2"/>
  <c r="E267" i="2"/>
  <c r="C267" i="2"/>
  <c r="B267" i="2"/>
  <c r="A267" i="2"/>
  <c r="N266" i="2"/>
  <c r="K266" i="2"/>
  <c r="J266" i="2"/>
  <c r="F266" i="2"/>
  <c r="E266" i="2"/>
  <c r="C266" i="2"/>
  <c r="B266" i="2"/>
  <c r="A266" i="2"/>
  <c r="N265" i="2"/>
  <c r="K265" i="2"/>
  <c r="J265" i="2"/>
  <c r="F265" i="2"/>
  <c r="E265" i="2"/>
  <c r="C265" i="2"/>
  <c r="B265" i="2"/>
  <c r="A265" i="2"/>
  <c r="N264" i="2"/>
  <c r="J264" i="2"/>
  <c r="H264" i="2"/>
  <c r="F264" i="2"/>
  <c r="E264" i="2"/>
  <c r="C264" i="2"/>
  <c r="B264" i="2"/>
  <c r="A264" i="2"/>
  <c r="N263" i="2"/>
  <c r="K263" i="2"/>
  <c r="F263" i="2"/>
  <c r="E263" i="2"/>
  <c r="D263" i="2"/>
  <c r="C263" i="2"/>
  <c r="B263" i="2"/>
  <c r="A263" i="2"/>
  <c r="N262" i="2"/>
  <c r="K262" i="2"/>
  <c r="F262" i="2"/>
  <c r="E262" i="2"/>
  <c r="C262" i="2"/>
  <c r="B262" i="2"/>
  <c r="A262" i="2"/>
  <c r="N261" i="2"/>
  <c r="G261" i="2"/>
  <c r="F261" i="2"/>
  <c r="E261" i="2"/>
  <c r="C261" i="2"/>
  <c r="B261" i="2"/>
  <c r="A261" i="2"/>
  <c r="N260" i="2"/>
  <c r="K260" i="2"/>
  <c r="F260" i="2"/>
  <c r="E260" i="2"/>
  <c r="C260" i="2"/>
  <c r="B260" i="2"/>
  <c r="A260" i="2"/>
  <c r="N259" i="2"/>
  <c r="K259" i="2"/>
  <c r="J259" i="2"/>
  <c r="F259" i="2"/>
  <c r="E259" i="2"/>
  <c r="C259" i="2"/>
  <c r="B259" i="2"/>
  <c r="A259" i="2"/>
  <c r="N258" i="2"/>
  <c r="J258" i="2"/>
  <c r="F258" i="2"/>
  <c r="E258" i="2"/>
  <c r="C258" i="2"/>
  <c r="B258" i="2"/>
  <c r="A258" i="2"/>
  <c r="N257" i="2"/>
  <c r="K257" i="2"/>
  <c r="F257" i="2"/>
  <c r="E257" i="2"/>
  <c r="C257" i="2"/>
  <c r="B257" i="2"/>
  <c r="A257" i="2"/>
  <c r="N256" i="2"/>
  <c r="K256" i="2"/>
  <c r="J256" i="2"/>
  <c r="F256" i="2"/>
  <c r="E256" i="2"/>
  <c r="C256" i="2"/>
  <c r="B256" i="2"/>
  <c r="A256" i="2"/>
  <c r="N255" i="2"/>
  <c r="K255" i="2"/>
  <c r="J255" i="2"/>
  <c r="F255" i="2"/>
  <c r="E255" i="2"/>
  <c r="C255" i="2"/>
  <c r="B255" i="2"/>
  <c r="A255" i="2"/>
  <c r="N254" i="2"/>
  <c r="K254" i="2"/>
  <c r="F254" i="2"/>
  <c r="E254" i="2"/>
  <c r="D254" i="2"/>
  <c r="C254" i="2"/>
  <c r="B254" i="2"/>
  <c r="A254" i="2"/>
  <c r="N253" i="2"/>
  <c r="K253" i="2"/>
  <c r="H253" i="2"/>
  <c r="F253" i="2"/>
  <c r="E253" i="2"/>
  <c r="C253" i="2"/>
  <c r="B253" i="2"/>
  <c r="A253" i="2"/>
  <c r="N252" i="2"/>
  <c r="K252" i="2"/>
  <c r="F252" i="2"/>
  <c r="E252" i="2"/>
  <c r="C252" i="2"/>
  <c r="B252" i="2"/>
  <c r="A252" i="2"/>
  <c r="N251" i="2"/>
  <c r="K251" i="2"/>
  <c r="J251" i="2"/>
  <c r="F251" i="2"/>
  <c r="E251" i="2"/>
  <c r="D251" i="2"/>
  <c r="C251" i="2"/>
  <c r="B251" i="2"/>
  <c r="A251" i="2"/>
  <c r="N250" i="2"/>
  <c r="K250" i="2"/>
  <c r="J250" i="2"/>
  <c r="F250" i="2"/>
  <c r="E250" i="2"/>
  <c r="C250" i="2"/>
  <c r="B250" i="2"/>
  <c r="A250" i="2"/>
  <c r="N249" i="2"/>
  <c r="K249" i="2"/>
  <c r="J249" i="2"/>
  <c r="F249" i="2"/>
  <c r="E249" i="2"/>
  <c r="C249" i="2"/>
  <c r="B249" i="2"/>
  <c r="A249" i="2"/>
  <c r="N248" i="2"/>
  <c r="K248" i="2"/>
  <c r="J248" i="2"/>
  <c r="F248" i="2"/>
  <c r="E248" i="2"/>
  <c r="C248" i="2"/>
  <c r="B248" i="2"/>
  <c r="A248" i="2"/>
  <c r="N247" i="2"/>
  <c r="K247" i="2"/>
  <c r="J247" i="2"/>
  <c r="F247" i="2"/>
  <c r="E247" i="2"/>
  <c r="C247" i="2"/>
  <c r="B247" i="2"/>
  <c r="A247" i="2"/>
  <c r="N246" i="2"/>
  <c r="K246" i="2"/>
  <c r="J246" i="2"/>
  <c r="F246" i="2"/>
  <c r="E246" i="2"/>
  <c r="C246" i="2"/>
  <c r="B246" i="2"/>
  <c r="A246" i="2"/>
  <c r="N245" i="2"/>
  <c r="K245" i="2"/>
  <c r="F245" i="2"/>
  <c r="E245" i="2"/>
  <c r="C245" i="2"/>
  <c r="B245" i="2"/>
  <c r="A245" i="2"/>
  <c r="N244" i="2"/>
  <c r="H244" i="2"/>
  <c r="F244" i="2"/>
  <c r="E244" i="2"/>
  <c r="C244" i="2"/>
  <c r="B244" i="2"/>
  <c r="A244" i="2"/>
  <c r="N243" i="2"/>
  <c r="K243" i="2"/>
  <c r="J243" i="2"/>
  <c r="F243" i="2"/>
  <c r="E243" i="2"/>
  <c r="C243" i="2"/>
  <c r="B243" i="2"/>
  <c r="A243" i="2"/>
  <c r="N242" i="2"/>
  <c r="F242" i="2"/>
  <c r="E242" i="2"/>
  <c r="C242" i="2"/>
  <c r="B242" i="2"/>
  <c r="A242" i="2"/>
  <c r="N241" i="2"/>
  <c r="K241" i="2"/>
  <c r="F241" i="2"/>
  <c r="E241" i="2"/>
  <c r="C241" i="2"/>
  <c r="B241" i="2"/>
  <c r="A241" i="2"/>
  <c r="N240" i="2"/>
  <c r="K240" i="2"/>
  <c r="J240" i="2"/>
  <c r="F240" i="2"/>
  <c r="E240" i="2"/>
  <c r="C240" i="2"/>
  <c r="B240" i="2"/>
  <c r="A240" i="2"/>
  <c r="N239" i="2"/>
  <c r="K239" i="2"/>
  <c r="F239" i="2"/>
  <c r="E239" i="2"/>
  <c r="C239" i="2"/>
  <c r="B239" i="2"/>
  <c r="A239" i="2"/>
  <c r="N238" i="2"/>
  <c r="K238" i="2"/>
  <c r="F238" i="2"/>
  <c r="E238" i="2"/>
  <c r="D238" i="2"/>
  <c r="C238" i="2"/>
  <c r="B238" i="2"/>
  <c r="A238" i="2"/>
  <c r="N237" i="2"/>
  <c r="K237" i="2"/>
  <c r="F237" i="2"/>
  <c r="E237" i="2"/>
  <c r="D237" i="2"/>
  <c r="C237" i="2"/>
  <c r="B237" i="2"/>
  <c r="A237" i="2"/>
  <c r="N236" i="2"/>
  <c r="F236" i="2"/>
  <c r="E236" i="2"/>
  <c r="C236" i="2"/>
  <c r="B236" i="2"/>
  <c r="A236" i="2"/>
  <c r="N235" i="2"/>
  <c r="F235" i="2"/>
  <c r="E235" i="2"/>
  <c r="C235" i="2"/>
  <c r="B235" i="2"/>
  <c r="A235" i="2"/>
  <c r="N234" i="2"/>
  <c r="K234" i="2"/>
  <c r="J234" i="2"/>
  <c r="F234" i="2"/>
  <c r="E234" i="2"/>
  <c r="C234" i="2"/>
  <c r="B234" i="2"/>
  <c r="A234" i="2"/>
  <c r="N233" i="2"/>
  <c r="K233" i="2"/>
  <c r="F233" i="2"/>
  <c r="E233" i="2"/>
  <c r="C233" i="2"/>
  <c r="B233" i="2"/>
  <c r="A233" i="2"/>
  <c r="N232" i="2"/>
  <c r="K232" i="2"/>
  <c r="J232" i="2"/>
  <c r="F232" i="2"/>
  <c r="E232" i="2"/>
  <c r="C232" i="2"/>
  <c r="B232" i="2"/>
  <c r="A232" i="2"/>
  <c r="N231" i="2"/>
  <c r="K231" i="2"/>
  <c r="F231" i="2"/>
  <c r="E231" i="2"/>
  <c r="C231" i="2"/>
  <c r="B231" i="2"/>
  <c r="A231" i="2"/>
  <c r="N230" i="2"/>
  <c r="K230" i="2"/>
  <c r="F230" i="2"/>
  <c r="E230" i="2"/>
  <c r="C230" i="2"/>
  <c r="B230" i="2"/>
  <c r="A230" i="2"/>
  <c r="N229" i="2"/>
  <c r="K229" i="2"/>
  <c r="F229" i="2"/>
  <c r="E229" i="2"/>
  <c r="C229" i="2"/>
  <c r="B229" i="2"/>
  <c r="A229" i="2"/>
  <c r="N228" i="2"/>
  <c r="F228" i="2"/>
  <c r="E228" i="2"/>
  <c r="C228" i="2"/>
  <c r="B228" i="2"/>
  <c r="A228" i="2"/>
  <c r="N227" i="2"/>
  <c r="K227" i="2"/>
  <c r="F227" i="2"/>
  <c r="E227" i="2"/>
  <c r="C227" i="2"/>
  <c r="B227" i="2"/>
  <c r="A227" i="2"/>
  <c r="N226" i="2"/>
  <c r="K226" i="2"/>
  <c r="F226" i="2"/>
  <c r="E226" i="2"/>
  <c r="C226" i="2"/>
  <c r="B226" i="2"/>
  <c r="A226" i="2"/>
  <c r="N225" i="2"/>
  <c r="K225" i="2"/>
  <c r="F225" i="2"/>
  <c r="E225" i="2"/>
  <c r="C225" i="2"/>
  <c r="B225" i="2"/>
  <c r="A225" i="2"/>
  <c r="N224" i="2"/>
  <c r="K224" i="2"/>
  <c r="F224" i="2"/>
  <c r="E224" i="2"/>
  <c r="C224" i="2"/>
  <c r="B224" i="2"/>
  <c r="A224" i="2"/>
  <c r="N223" i="2"/>
  <c r="K223" i="2"/>
  <c r="F223" i="2"/>
  <c r="E223" i="2"/>
  <c r="C223" i="2"/>
  <c r="B223" i="2"/>
  <c r="A223" i="2"/>
  <c r="N222" i="2"/>
  <c r="L222" i="2"/>
  <c r="K222" i="2"/>
  <c r="F222" i="2"/>
  <c r="E222" i="2"/>
  <c r="C222" i="2"/>
  <c r="B222" i="2"/>
  <c r="A222" i="2"/>
  <c r="N221" i="2"/>
  <c r="K221" i="2"/>
  <c r="F221" i="2"/>
  <c r="E221" i="2"/>
  <c r="C221" i="2"/>
  <c r="B221" i="2"/>
  <c r="A221" i="2"/>
  <c r="N220" i="2"/>
  <c r="K220" i="2"/>
  <c r="F220" i="2"/>
  <c r="E220" i="2"/>
  <c r="C220" i="2"/>
  <c r="B220" i="2"/>
  <c r="A220" i="2"/>
  <c r="N219" i="2"/>
  <c r="K219" i="2"/>
  <c r="F219" i="2"/>
  <c r="E219" i="2"/>
  <c r="C219" i="2"/>
  <c r="B219" i="2"/>
  <c r="A219" i="2"/>
  <c r="N218" i="2"/>
  <c r="K218" i="2"/>
  <c r="F218" i="2"/>
  <c r="E218" i="2"/>
  <c r="C218" i="2"/>
  <c r="B218" i="2"/>
  <c r="A218" i="2"/>
  <c r="N217" i="2"/>
  <c r="K217" i="2"/>
  <c r="F217" i="2"/>
  <c r="E217" i="2"/>
  <c r="C217" i="2"/>
  <c r="B217" i="2"/>
  <c r="A217" i="2"/>
  <c r="N216" i="2"/>
  <c r="K216" i="2"/>
  <c r="J216" i="2"/>
  <c r="F216" i="2"/>
  <c r="E216" i="2"/>
  <c r="C216" i="2"/>
  <c r="B216" i="2"/>
  <c r="A216" i="2"/>
  <c r="N215" i="2"/>
  <c r="K215" i="2"/>
  <c r="F215" i="2"/>
  <c r="E215" i="2"/>
  <c r="C215" i="2"/>
  <c r="B215" i="2"/>
  <c r="A215" i="2"/>
  <c r="N214" i="2"/>
  <c r="K214" i="2"/>
  <c r="F214" i="2"/>
  <c r="E214" i="2"/>
  <c r="D214" i="2"/>
  <c r="C214" i="2"/>
  <c r="B214" i="2"/>
  <c r="A214" i="2"/>
  <c r="N213" i="2"/>
  <c r="K213" i="2"/>
  <c r="F213" i="2"/>
  <c r="E213" i="2"/>
  <c r="C213" i="2"/>
  <c r="B213" i="2"/>
  <c r="A213" i="2"/>
  <c r="N212" i="2"/>
  <c r="K212" i="2"/>
  <c r="F212" i="2"/>
  <c r="E212" i="2"/>
  <c r="C212" i="2"/>
  <c r="B212" i="2"/>
  <c r="A212" i="2"/>
  <c r="N211" i="2"/>
  <c r="K211" i="2"/>
  <c r="J211" i="2"/>
  <c r="F211" i="2"/>
  <c r="E211" i="2"/>
  <c r="C211" i="2"/>
  <c r="B211" i="2"/>
  <c r="A211" i="2"/>
  <c r="N210" i="2"/>
  <c r="K210" i="2"/>
  <c r="J210" i="2"/>
  <c r="I210" i="2"/>
  <c r="F210" i="2"/>
  <c r="E210" i="2"/>
  <c r="C210" i="2"/>
  <c r="B210" i="2"/>
  <c r="A210" i="2"/>
  <c r="N209" i="2"/>
  <c r="K209" i="2"/>
  <c r="F209" i="2"/>
  <c r="E209" i="2"/>
  <c r="C209" i="2"/>
  <c r="B209" i="2"/>
  <c r="A209" i="2"/>
  <c r="N208" i="2"/>
  <c r="K208" i="2"/>
  <c r="F208" i="2"/>
  <c r="E208" i="2"/>
  <c r="C208" i="2"/>
  <c r="B208" i="2"/>
  <c r="A208" i="2"/>
  <c r="N207" i="2"/>
  <c r="K207" i="2"/>
  <c r="F207" i="2"/>
  <c r="E207" i="2"/>
  <c r="C207" i="2"/>
  <c r="B207" i="2"/>
  <c r="A207" i="2"/>
  <c r="N206" i="2"/>
  <c r="K206" i="2"/>
  <c r="F206" i="2"/>
  <c r="E206" i="2"/>
  <c r="C206" i="2"/>
  <c r="B206" i="2"/>
  <c r="A206" i="2"/>
  <c r="N205" i="2"/>
  <c r="K205" i="2"/>
  <c r="F205" i="2"/>
  <c r="E205" i="2"/>
  <c r="C205" i="2"/>
  <c r="B205" i="2"/>
  <c r="A205" i="2"/>
  <c r="N204" i="2"/>
  <c r="K204" i="2"/>
  <c r="J204" i="2"/>
  <c r="F204" i="2"/>
  <c r="E204" i="2"/>
  <c r="C204" i="2"/>
  <c r="B204" i="2"/>
  <c r="A204" i="2"/>
  <c r="N203" i="2"/>
  <c r="K203" i="2"/>
  <c r="J203" i="2"/>
  <c r="F203" i="2"/>
  <c r="E203" i="2"/>
  <c r="C203" i="2"/>
  <c r="B203" i="2"/>
  <c r="A203" i="2"/>
  <c r="N202" i="2"/>
  <c r="K202" i="2"/>
  <c r="F202" i="2"/>
  <c r="E202" i="2"/>
  <c r="C202" i="2"/>
  <c r="B202" i="2"/>
  <c r="A202" i="2"/>
  <c r="N201" i="2"/>
  <c r="K201" i="2"/>
  <c r="J201" i="2"/>
  <c r="F201" i="2"/>
  <c r="E201" i="2"/>
  <c r="C201" i="2"/>
  <c r="B201" i="2"/>
  <c r="A201" i="2"/>
  <c r="N200" i="2"/>
  <c r="K200" i="2"/>
  <c r="J200" i="2"/>
  <c r="F200" i="2"/>
  <c r="E200" i="2"/>
  <c r="C200" i="2"/>
  <c r="B200" i="2"/>
  <c r="A200" i="2"/>
  <c r="N199" i="2"/>
  <c r="K199" i="2"/>
  <c r="F199" i="2"/>
  <c r="E199" i="2"/>
  <c r="C199" i="2"/>
  <c r="B199" i="2"/>
  <c r="A199" i="2"/>
  <c r="N198" i="2"/>
  <c r="K198" i="2"/>
  <c r="J198" i="2"/>
  <c r="F198" i="2"/>
  <c r="E198" i="2"/>
  <c r="C198" i="2"/>
  <c r="B198" i="2"/>
  <c r="A198" i="2"/>
  <c r="N197" i="2"/>
  <c r="K197" i="2"/>
  <c r="F197" i="2"/>
  <c r="E197" i="2"/>
  <c r="C197" i="2"/>
  <c r="B197" i="2"/>
  <c r="A197" i="2"/>
  <c r="N196" i="2"/>
  <c r="K196" i="2"/>
  <c r="F196" i="2"/>
  <c r="E196" i="2"/>
  <c r="C196" i="2"/>
  <c r="B196" i="2"/>
  <c r="A196" i="2"/>
  <c r="N195" i="2"/>
  <c r="K195" i="2"/>
  <c r="J195" i="2"/>
  <c r="F195" i="2"/>
  <c r="E195" i="2"/>
  <c r="C195" i="2"/>
  <c r="B195" i="2"/>
  <c r="A195" i="2"/>
  <c r="N194" i="2"/>
  <c r="K194" i="2"/>
  <c r="G194" i="2"/>
  <c r="F194" i="2"/>
  <c r="E194" i="2"/>
  <c r="C194" i="2"/>
  <c r="B194" i="2"/>
  <c r="A194" i="2"/>
  <c r="N193" i="2"/>
  <c r="K193" i="2"/>
  <c r="F193" i="2"/>
  <c r="E193" i="2"/>
  <c r="C193" i="2"/>
  <c r="B193" i="2"/>
  <c r="A193" i="2"/>
  <c r="N192" i="2"/>
  <c r="G192" i="2"/>
  <c r="F192" i="2"/>
  <c r="E192" i="2"/>
  <c r="D192" i="2"/>
  <c r="C192" i="2"/>
  <c r="B192" i="2"/>
  <c r="A192" i="2"/>
  <c r="N191" i="2"/>
  <c r="G191" i="2"/>
  <c r="F191" i="2"/>
  <c r="E191" i="2"/>
  <c r="D191" i="2"/>
  <c r="C191" i="2"/>
  <c r="B191" i="2"/>
  <c r="A191" i="2"/>
  <c r="N190" i="2"/>
  <c r="G190" i="2"/>
  <c r="F190" i="2"/>
  <c r="E190" i="2"/>
  <c r="D190" i="2"/>
  <c r="C190" i="2"/>
  <c r="B190" i="2"/>
  <c r="A190" i="2"/>
  <c r="N189" i="2"/>
  <c r="G189" i="2"/>
  <c r="F189" i="2"/>
  <c r="E189" i="2"/>
  <c r="D189" i="2"/>
  <c r="C189" i="2"/>
  <c r="B189" i="2"/>
  <c r="A189" i="2"/>
  <c r="N188" i="2"/>
  <c r="K188" i="2"/>
  <c r="J188" i="2"/>
  <c r="F188" i="2"/>
  <c r="E188" i="2"/>
  <c r="C188" i="2"/>
  <c r="B188" i="2"/>
  <c r="A188" i="2"/>
  <c r="N187" i="2"/>
  <c r="K187" i="2"/>
  <c r="F187" i="2"/>
  <c r="E187" i="2"/>
  <c r="D187" i="2"/>
  <c r="C187" i="2"/>
  <c r="B187" i="2"/>
  <c r="A187" i="2"/>
  <c r="N186" i="2"/>
  <c r="K186" i="2"/>
  <c r="F186" i="2"/>
  <c r="E186" i="2"/>
  <c r="C186" i="2"/>
  <c r="B186" i="2"/>
  <c r="A186" i="2"/>
  <c r="N185" i="2"/>
  <c r="K185" i="2"/>
  <c r="F185" i="2"/>
  <c r="E185" i="2"/>
  <c r="C185" i="2"/>
  <c r="B185" i="2"/>
  <c r="A185" i="2"/>
  <c r="N184" i="2"/>
  <c r="K184" i="2"/>
  <c r="F184" i="2"/>
  <c r="E184" i="2"/>
  <c r="C184" i="2"/>
  <c r="B184" i="2"/>
  <c r="A184" i="2"/>
  <c r="N183" i="2"/>
  <c r="J183" i="2"/>
  <c r="H183" i="2"/>
  <c r="F183" i="2"/>
  <c r="E183" i="2"/>
  <c r="C183" i="2"/>
  <c r="B183" i="2"/>
  <c r="A183" i="2"/>
  <c r="N182" i="2"/>
  <c r="K182" i="2"/>
  <c r="J182" i="2"/>
  <c r="F182" i="2"/>
  <c r="E182" i="2"/>
  <c r="D182" i="2"/>
  <c r="C182" i="2"/>
  <c r="B182" i="2"/>
  <c r="A182" i="2"/>
  <c r="N181" i="2"/>
  <c r="J181" i="2"/>
  <c r="F181" i="2"/>
  <c r="E181" i="2"/>
  <c r="C181" i="2"/>
  <c r="B181" i="2"/>
  <c r="A181" i="2"/>
  <c r="N180" i="2"/>
  <c r="K180" i="2"/>
  <c r="J180" i="2"/>
  <c r="G180" i="2"/>
  <c r="F180" i="2"/>
  <c r="E180" i="2"/>
  <c r="C180" i="2"/>
  <c r="B180" i="2"/>
  <c r="A180" i="2"/>
  <c r="N179" i="2"/>
  <c r="K179" i="2"/>
  <c r="F179" i="2"/>
  <c r="E179" i="2"/>
  <c r="C179" i="2"/>
  <c r="B179" i="2"/>
  <c r="A179" i="2"/>
  <c r="N178" i="2"/>
  <c r="K178" i="2"/>
  <c r="F178" i="2"/>
  <c r="E178" i="2"/>
  <c r="C178" i="2"/>
  <c r="B178" i="2"/>
  <c r="A178" i="2"/>
  <c r="N177" i="2"/>
  <c r="K177" i="2"/>
  <c r="J177" i="2"/>
  <c r="F177" i="2"/>
  <c r="E177" i="2"/>
  <c r="C177" i="2"/>
  <c r="B177" i="2"/>
  <c r="A177" i="2"/>
  <c r="N176" i="2"/>
  <c r="K176" i="2"/>
  <c r="J176" i="2"/>
  <c r="F176" i="2"/>
  <c r="E176" i="2"/>
  <c r="C176" i="2"/>
  <c r="B176" i="2"/>
  <c r="A176" i="2"/>
  <c r="N175" i="2"/>
  <c r="K175" i="2"/>
  <c r="F175" i="2"/>
  <c r="E175" i="2"/>
  <c r="C175" i="2"/>
  <c r="B175" i="2"/>
  <c r="A175" i="2"/>
  <c r="N174" i="2"/>
  <c r="K174" i="2"/>
  <c r="J174" i="2"/>
  <c r="F174" i="2"/>
  <c r="E174" i="2"/>
  <c r="C174" i="2"/>
  <c r="B174" i="2"/>
  <c r="A174" i="2"/>
  <c r="N173" i="2"/>
  <c r="K173" i="2"/>
  <c r="F173" i="2"/>
  <c r="E173" i="2"/>
  <c r="C173" i="2"/>
  <c r="B173" i="2"/>
  <c r="A173" i="2"/>
  <c r="N172" i="2"/>
  <c r="K172" i="2"/>
  <c r="F172" i="2"/>
  <c r="E172" i="2"/>
  <c r="D172" i="2"/>
  <c r="C172" i="2"/>
  <c r="B172" i="2"/>
  <c r="A172" i="2"/>
  <c r="N171" i="2"/>
  <c r="K171" i="2"/>
  <c r="J171" i="2"/>
  <c r="F171" i="2"/>
  <c r="E171" i="2"/>
  <c r="C171" i="2"/>
  <c r="B171" i="2"/>
  <c r="A171" i="2"/>
  <c r="N170" i="2"/>
  <c r="K170" i="2"/>
  <c r="J170" i="2"/>
  <c r="F170" i="2"/>
  <c r="E170" i="2"/>
  <c r="C170" i="2"/>
  <c r="B170" i="2"/>
  <c r="A170" i="2"/>
  <c r="N169" i="2"/>
  <c r="J169" i="2"/>
  <c r="F169" i="2"/>
  <c r="E169" i="2"/>
  <c r="C169" i="2"/>
  <c r="B169" i="2"/>
  <c r="A169" i="2"/>
  <c r="N168" i="2"/>
  <c r="K168" i="2"/>
  <c r="J168" i="2"/>
  <c r="F168" i="2"/>
  <c r="E168" i="2"/>
  <c r="C168" i="2"/>
  <c r="B168" i="2"/>
  <c r="A168" i="2"/>
  <c r="N167" i="2"/>
  <c r="K167" i="2"/>
  <c r="H167" i="2"/>
  <c r="F167" i="2"/>
  <c r="E167" i="2"/>
  <c r="D167" i="2"/>
  <c r="C167" i="2"/>
  <c r="B167" i="2"/>
  <c r="A167" i="2"/>
  <c r="N166" i="2"/>
  <c r="K166" i="2"/>
  <c r="H166" i="2"/>
  <c r="F166" i="2"/>
  <c r="E166" i="2"/>
  <c r="D166" i="2"/>
  <c r="C166" i="2"/>
  <c r="B166" i="2"/>
  <c r="A166" i="2"/>
  <c r="N165" i="2"/>
  <c r="K165" i="2"/>
  <c r="F165" i="2"/>
  <c r="E165" i="2"/>
  <c r="D165" i="2"/>
  <c r="C165" i="2"/>
  <c r="B165" i="2"/>
  <c r="A165" i="2"/>
  <c r="N164" i="2"/>
  <c r="K164" i="2"/>
  <c r="H164" i="2"/>
  <c r="F164" i="2"/>
  <c r="E164" i="2"/>
  <c r="D164" i="2"/>
  <c r="C164" i="2"/>
  <c r="B164" i="2"/>
  <c r="A164" i="2"/>
  <c r="N163" i="2"/>
  <c r="K163" i="2"/>
  <c r="H163" i="2"/>
  <c r="F163" i="2"/>
  <c r="E163" i="2"/>
  <c r="D163" i="2"/>
  <c r="C163" i="2"/>
  <c r="B163" i="2"/>
  <c r="A163" i="2"/>
  <c r="N162" i="2"/>
  <c r="K162" i="2"/>
  <c r="J162" i="2"/>
  <c r="F162" i="2"/>
  <c r="E162" i="2"/>
  <c r="C162" i="2"/>
  <c r="B162" i="2"/>
  <c r="A162" i="2"/>
  <c r="N161" i="2"/>
  <c r="K161" i="2"/>
  <c r="J161" i="2"/>
  <c r="F161" i="2"/>
  <c r="E161" i="2"/>
  <c r="C161" i="2"/>
  <c r="B161" i="2"/>
  <c r="A161" i="2"/>
  <c r="N160" i="2"/>
  <c r="K160" i="2"/>
  <c r="H160" i="2"/>
  <c r="F160" i="2"/>
  <c r="E160" i="2"/>
  <c r="D160" i="2"/>
  <c r="C160" i="2"/>
  <c r="B160" i="2"/>
  <c r="A160" i="2"/>
  <c r="N159" i="2"/>
  <c r="K159" i="2"/>
  <c r="I159" i="2"/>
  <c r="F159" i="2"/>
  <c r="E159" i="2"/>
  <c r="D159" i="2"/>
  <c r="C159" i="2"/>
  <c r="B159" i="2"/>
  <c r="A159" i="2"/>
  <c r="N158" i="2"/>
  <c r="K158" i="2"/>
  <c r="I158" i="2"/>
  <c r="F158" i="2"/>
  <c r="E158" i="2"/>
  <c r="D158" i="2"/>
  <c r="C158" i="2"/>
  <c r="B158" i="2"/>
  <c r="A158" i="2"/>
  <c r="N157" i="2"/>
  <c r="J157" i="2"/>
  <c r="F157" i="2"/>
  <c r="E157" i="2"/>
  <c r="C157" i="2"/>
  <c r="B157" i="2"/>
  <c r="A157" i="2"/>
  <c r="N156" i="2"/>
  <c r="K156" i="2"/>
  <c r="F156" i="2"/>
  <c r="E156" i="2"/>
  <c r="C156" i="2"/>
  <c r="B156" i="2"/>
  <c r="A156" i="2"/>
  <c r="N155" i="2"/>
  <c r="K155" i="2"/>
  <c r="F155" i="2"/>
  <c r="E155" i="2"/>
  <c r="C155" i="2"/>
  <c r="B155" i="2"/>
  <c r="A155" i="2"/>
  <c r="N154" i="2"/>
  <c r="K154" i="2"/>
  <c r="F154" i="2"/>
  <c r="E154" i="2"/>
  <c r="C154" i="2"/>
  <c r="B154" i="2"/>
  <c r="A154" i="2"/>
  <c r="N153" i="2"/>
  <c r="K153" i="2"/>
  <c r="J153" i="2"/>
  <c r="F153" i="2"/>
  <c r="E153" i="2"/>
  <c r="C153" i="2"/>
  <c r="B153" i="2"/>
  <c r="A153" i="2"/>
  <c r="N152" i="2"/>
  <c r="K152" i="2"/>
  <c r="F152" i="2"/>
  <c r="E152" i="2"/>
  <c r="C152" i="2"/>
  <c r="B152" i="2"/>
  <c r="A152" i="2"/>
  <c r="N151" i="2"/>
  <c r="K151" i="2"/>
  <c r="G151" i="2"/>
  <c r="F151" i="2"/>
  <c r="E151" i="2"/>
  <c r="C151" i="2"/>
  <c r="B151" i="2"/>
  <c r="A151" i="2"/>
  <c r="N150" i="2"/>
  <c r="L150" i="2"/>
  <c r="I150" i="2"/>
  <c r="F150" i="2"/>
  <c r="E150" i="2"/>
  <c r="D150" i="2"/>
  <c r="C150" i="2"/>
  <c r="B150" i="2"/>
  <c r="A150" i="2"/>
  <c r="N149" i="2"/>
  <c r="L149" i="2"/>
  <c r="K149" i="2"/>
  <c r="J149" i="2"/>
  <c r="F149" i="2"/>
  <c r="E149" i="2"/>
  <c r="C149" i="2"/>
  <c r="B149" i="2"/>
  <c r="A149" i="2"/>
  <c r="N148" i="2"/>
  <c r="K148" i="2"/>
  <c r="F148" i="2"/>
  <c r="E148" i="2"/>
  <c r="D148" i="2"/>
  <c r="C148" i="2"/>
  <c r="B148" i="2"/>
  <c r="A148" i="2"/>
  <c r="N147" i="2"/>
  <c r="K147" i="2"/>
  <c r="J147" i="2"/>
  <c r="F147" i="2"/>
  <c r="E147" i="2"/>
  <c r="C147" i="2"/>
  <c r="B147" i="2"/>
  <c r="A147" i="2"/>
  <c r="N146" i="2"/>
  <c r="K146" i="2"/>
  <c r="J146" i="2"/>
  <c r="F146" i="2"/>
  <c r="E146" i="2"/>
  <c r="D146" i="2"/>
  <c r="C146" i="2"/>
  <c r="B146" i="2"/>
  <c r="A146" i="2"/>
  <c r="N145" i="2"/>
  <c r="J145" i="2"/>
  <c r="F145" i="2"/>
  <c r="E145" i="2"/>
  <c r="C145" i="2"/>
  <c r="B145" i="2"/>
  <c r="A145" i="2"/>
  <c r="N144" i="2"/>
  <c r="J144" i="2"/>
  <c r="F144" i="2"/>
  <c r="E144" i="2"/>
  <c r="C144" i="2"/>
  <c r="B144" i="2"/>
  <c r="A144" i="2"/>
  <c r="N143" i="2"/>
  <c r="F143" i="2"/>
  <c r="E143" i="2"/>
  <c r="C143" i="2"/>
  <c r="B143" i="2"/>
  <c r="A143" i="2"/>
  <c r="N142" i="2"/>
  <c r="K142" i="2"/>
  <c r="F142" i="2"/>
  <c r="E142" i="2"/>
  <c r="C142" i="2"/>
  <c r="B142" i="2"/>
  <c r="A142" i="2"/>
  <c r="N141" i="2"/>
  <c r="K141" i="2"/>
  <c r="J141" i="2"/>
  <c r="F141" i="2"/>
  <c r="E141" i="2"/>
  <c r="C141" i="2"/>
  <c r="B141" i="2"/>
  <c r="A141" i="2"/>
  <c r="N140" i="2"/>
  <c r="K140" i="2"/>
  <c r="J140" i="2"/>
  <c r="H140" i="2"/>
  <c r="F140" i="2"/>
  <c r="E140" i="2"/>
  <c r="C140" i="2"/>
  <c r="B140" i="2"/>
  <c r="A140" i="2"/>
  <c r="N139" i="2"/>
  <c r="K139" i="2"/>
  <c r="F139" i="2"/>
  <c r="E139" i="2"/>
  <c r="C139" i="2"/>
  <c r="B139" i="2"/>
  <c r="A139" i="2"/>
  <c r="N138" i="2"/>
  <c r="K138" i="2"/>
  <c r="F138" i="2"/>
  <c r="E138" i="2"/>
  <c r="D138" i="2"/>
  <c r="C138" i="2"/>
  <c r="B138" i="2"/>
  <c r="A138" i="2"/>
  <c r="N137" i="2"/>
  <c r="J137" i="2"/>
  <c r="F137" i="2"/>
  <c r="E137" i="2"/>
  <c r="C137" i="2"/>
  <c r="B137" i="2"/>
  <c r="A137" i="2"/>
  <c r="N136" i="2"/>
  <c r="K136" i="2"/>
  <c r="J136" i="2"/>
  <c r="F136" i="2"/>
  <c r="E136" i="2"/>
  <c r="C136" i="2"/>
  <c r="B136" i="2"/>
  <c r="A136" i="2"/>
  <c r="N135" i="2"/>
  <c r="K135" i="2"/>
  <c r="J135" i="2"/>
  <c r="F135" i="2"/>
  <c r="E135" i="2"/>
  <c r="D135" i="2"/>
  <c r="C135" i="2"/>
  <c r="B135" i="2"/>
  <c r="A135" i="2"/>
  <c r="N134" i="2"/>
  <c r="K134" i="2"/>
  <c r="J134" i="2"/>
  <c r="F134" i="2"/>
  <c r="E134" i="2"/>
  <c r="C134" i="2"/>
  <c r="B134" i="2"/>
  <c r="A134" i="2"/>
  <c r="N133" i="2"/>
  <c r="K133" i="2"/>
  <c r="F133" i="2"/>
  <c r="E133" i="2"/>
  <c r="C133" i="2"/>
  <c r="B133" i="2"/>
  <c r="A133" i="2"/>
  <c r="N132" i="2"/>
  <c r="K132" i="2"/>
  <c r="F132" i="2"/>
  <c r="E132" i="2"/>
  <c r="C132" i="2"/>
  <c r="B132" i="2"/>
  <c r="A132" i="2"/>
  <c r="N131" i="2"/>
  <c r="K131" i="2"/>
  <c r="J131" i="2"/>
  <c r="F131" i="2"/>
  <c r="E131" i="2"/>
  <c r="C131" i="2"/>
  <c r="B131" i="2"/>
  <c r="A131" i="2"/>
  <c r="N130" i="2"/>
  <c r="K130" i="2"/>
  <c r="F130" i="2"/>
  <c r="E130" i="2"/>
  <c r="D130" i="2"/>
  <c r="C130" i="2"/>
  <c r="B130" i="2"/>
  <c r="A130" i="2"/>
  <c r="N129" i="2"/>
  <c r="K129" i="2"/>
  <c r="J129" i="2"/>
  <c r="F129" i="2"/>
  <c r="E129" i="2"/>
  <c r="C129" i="2"/>
  <c r="B129" i="2"/>
  <c r="A129" i="2"/>
  <c r="N128" i="2"/>
  <c r="J128" i="2"/>
  <c r="F128" i="2"/>
  <c r="E128" i="2"/>
  <c r="C128" i="2"/>
  <c r="B128" i="2"/>
  <c r="A128" i="2"/>
  <c r="N127" i="2"/>
  <c r="K127" i="2"/>
  <c r="F127" i="2"/>
  <c r="E127" i="2"/>
  <c r="D127" i="2"/>
  <c r="C127" i="2"/>
  <c r="B127" i="2"/>
  <c r="A127" i="2"/>
  <c r="N126" i="2"/>
  <c r="K126" i="2"/>
  <c r="F126" i="2"/>
  <c r="E126" i="2"/>
  <c r="D126" i="2"/>
  <c r="C126" i="2"/>
  <c r="B126" i="2"/>
  <c r="A126" i="2"/>
  <c r="N125" i="2"/>
  <c r="K125" i="2"/>
  <c r="J125" i="2"/>
  <c r="G125" i="2"/>
  <c r="F125" i="2"/>
  <c r="E125" i="2"/>
  <c r="C125" i="2"/>
  <c r="B125" i="2"/>
  <c r="A125" i="2"/>
  <c r="N124" i="2"/>
  <c r="K124" i="2"/>
  <c r="F124" i="2"/>
  <c r="E124" i="2"/>
  <c r="D124" i="2"/>
  <c r="C124" i="2"/>
  <c r="B124" i="2"/>
  <c r="A124" i="2"/>
  <c r="N123" i="2"/>
  <c r="K123" i="2"/>
  <c r="J123" i="2"/>
  <c r="F123" i="2"/>
  <c r="E123" i="2"/>
  <c r="C123" i="2"/>
  <c r="B123" i="2"/>
  <c r="A123" i="2"/>
  <c r="N122" i="2"/>
  <c r="K122" i="2"/>
  <c r="F122" i="2"/>
  <c r="E122" i="2"/>
  <c r="C122" i="2"/>
  <c r="B122" i="2"/>
  <c r="A122" i="2"/>
  <c r="N121" i="2"/>
  <c r="K121" i="2"/>
  <c r="F121" i="2"/>
  <c r="E121" i="2"/>
  <c r="C121" i="2"/>
  <c r="B121" i="2"/>
  <c r="A121" i="2"/>
  <c r="N120" i="2"/>
  <c r="K120" i="2"/>
  <c r="J120" i="2"/>
  <c r="F120" i="2"/>
  <c r="E120" i="2"/>
  <c r="C120" i="2"/>
  <c r="B120" i="2"/>
  <c r="A120" i="2"/>
  <c r="N119" i="2"/>
  <c r="K119" i="2"/>
  <c r="J119" i="2"/>
  <c r="G119" i="2"/>
  <c r="F119" i="2"/>
  <c r="E119" i="2"/>
  <c r="C119" i="2"/>
  <c r="B119" i="2"/>
  <c r="A119" i="2"/>
  <c r="N118" i="2"/>
  <c r="K118" i="2"/>
  <c r="F118" i="2"/>
  <c r="E118" i="2"/>
  <c r="C118" i="2"/>
  <c r="B118" i="2"/>
  <c r="A118" i="2"/>
  <c r="N117" i="2"/>
  <c r="K117" i="2"/>
  <c r="G117" i="2"/>
  <c r="F117" i="2"/>
  <c r="E117" i="2"/>
  <c r="D117" i="2"/>
  <c r="C117" i="2"/>
  <c r="B117" i="2"/>
  <c r="A117" i="2"/>
  <c r="N116" i="2"/>
  <c r="K116" i="2"/>
  <c r="J116" i="2"/>
  <c r="F116" i="2"/>
  <c r="E116" i="2"/>
  <c r="C116" i="2"/>
  <c r="B116" i="2"/>
  <c r="A116" i="2"/>
  <c r="N115" i="2"/>
  <c r="K115" i="2"/>
  <c r="F115" i="2"/>
  <c r="E115" i="2"/>
  <c r="C115" i="2"/>
  <c r="B115" i="2"/>
  <c r="A115" i="2"/>
  <c r="N114" i="2"/>
  <c r="K114" i="2"/>
  <c r="F114" i="2"/>
  <c r="E114" i="2"/>
  <c r="C114" i="2"/>
  <c r="B114" i="2"/>
  <c r="A114" i="2"/>
  <c r="N113" i="2"/>
  <c r="K113" i="2"/>
  <c r="F113" i="2"/>
  <c r="E113" i="2"/>
  <c r="C113" i="2"/>
  <c r="B113" i="2"/>
  <c r="A113" i="2"/>
  <c r="N112" i="2"/>
  <c r="K112" i="2"/>
  <c r="F112" i="2"/>
  <c r="E112" i="2"/>
  <c r="C112" i="2"/>
  <c r="B112" i="2"/>
  <c r="A112" i="2"/>
  <c r="N111" i="2"/>
  <c r="K111" i="2"/>
  <c r="F111" i="2"/>
  <c r="E111" i="2"/>
  <c r="C111" i="2"/>
  <c r="B111" i="2"/>
  <c r="A111" i="2"/>
  <c r="N110" i="2"/>
  <c r="K110" i="2"/>
  <c r="F110" i="2"/>
  <c r="E110" i="2"/>
  <c r="C110" i="2"/>
  <c r="B110" i="2"/>
  <c r="A110" i="2"/>
  <c r="N109" i="2"/>
  <c r="K109" i="2"/>
  <c r="F109" i="2"/>
  <c r="E109" i="2"/>
  <c r="C109" i="2"/>
  <c r="B109" i="2"/>
  <c r="A109" i="2"/>
  <c r="N108" i="2"/>
  <c r="K108" i="2"/>
  <c r="F108" i="2"/>
  <c r="E108" i="2"/>
  <c r="C108" i="2"/>
  <c r="B108" i="2"/>
  <c r="A108" i="2"/>
  <c r="N107" i="2"/>
  <c r="K107" i="2"/>
  <c r="F107" i="2"/>
  <c r="E107" i="2"/>
  <c r="C107" i="2"/>
  <c r="B107" i="2"/>
  <c r="A107" i="2"/>
  <c r="N106" i="2"/>
  <c r="K106" i="2"/>
  <c r="F106" i="2"/>
  <c r="E106" i="2"/>
  <c r="C106" i="2"/>
  <c r="B106" i="2"/>
  <c r="A106" i="2"/>
  <c r="N105" i="2"/>
  <c r="K105" i="2"/>
  <c r="F105" i="2"/>
  <c r="E105" i="2"/>
  <c r="D105" i="2"/>
  <c r="C105" i="2"/>
  <c r="B105" i="2"/>
  <c r="A105" i="2"/>
  <c r="N104" i="2"/>
  <c r="K104" i="2"/>
  <c r="F104" i="2"/>
  <c r="E104" i="2"/>
  <c r="D104" i="2"/>
  <c r="C104" i="2"/>
  <c r="B104" i="2"/>
  <c r="A104" i="2"/>
  <c r="N103" i="2"/>
  <c r="K103" i="2"/>
  <c r="J103" i="2"/>
  <c r="F103" i="2"/>
  <c r="E103" i="2"/>
  <c r="D103" i="2"/>
  <c r="C103" i="2"/>
  <c r="B103" i="2"/>
  <c r="A103" i="2"/>
  <c r="N102" i="2"/>
  <c r="F102" i="2"/>
  <c r="E102" i="2"/>
  <c r="C102" i="2"/>
  <c r="B102" i="2"/>
  <c r="A102" i="2"/>
  <c r="N101" i="2"/>
  <c r="J101" i="2"/>
  <c r="F101" i="2"/>
  <c r="E101" i="2"/>
  <c r="C101" i="2"/>
  <c r="B101" i="2"/>
  <c r="A101" i="2"/>
  <c r="N100" i="2"/>
  <c r="F100" i="2"/>
  <c r="E100" i="2"/>
  <c r="C100" i="2"/>
  <c r="B100" i="2"/>
  <c r="A100" i="2"/>
  <c r="N99" i="2"/>
  <c r="K99" i="2"/>
  <c r="J99" i="2"/>
  <c r="F99" i="2"/>
  <c r="E99" i="2"/>
  <c r="C99" i="2"/>
  <c r="B99" i="2"/>
  <c r="A99" i="2"/>
  <c r="N98" i="2"/>
  <c r="K98" i="2"/>
  <c r="J98" i="2"/>
  <c r="F98" i="2"/>
  <c r="E98" i="2"/>
  <c r="C98" i="2"/>
  <c r="B98" i="2"/>
  <c r="A98" i="2"/>
  <c r="N97" i="2"/>
  <c r="K97" i="2"/>
  <c r="J97" i="2"/>
  <c r="F97" i="2"/>
  <c r="E97" i="2"/>
  <c r="C97" i="2"/>
  <c r="B97" i="2"/>
  <c r="A97" i="2"/>
  <c r="N96" i="2"/>
  <c r="J96" i="2"/>
  <c r="F96" i="2"/>
  <c r="E96" i="2"/>
  <c r="C96" i="2"/>
  <c r="B96" i="2"/>
  <c r="A96" i="2"/>
  <c r="N95" i="2"/>
  <c r="K95" i="2"/>
  <c r="H95" i="2"/>
  <c r="F95" i="2"/>
  <c r="E95" i="2"/>
  <c r="C95" i="2"/>
  <c r="B95" i="2"/>
  <c r="A95" i="2"/>
  <c r="N94" i="2"/>
  <c r="K94" i="2"/>
  <c r="H94" i="2"/>
  <c r="F94" i="2"/>
  <c r="E94" i="2"/>
  <c r="C94" i="2"/>
  <c r="B94" i="2"/>
  <c r="A94" i="2"/>
  <c r="N93" i="2"/>
  <c r="K93" i="2"/>
  <c r="J93" i="2"/>
  <c r="F93" i="2"/>
  <c r="E93" i="2"/>
  <c r="D93" i="2"/>
  <c r="C93" i="2"/>
  <c r="B93" i="2"/>
  <c r="A93" i="2"/>
  <c r="N92" i="2"/>
  <c r="K92" i="2"/>
  <c r="F92" i="2"/>
  <c r="E92" i="2"/>
  <c r="C92" i="2"/>
  <c r="B92" i="2"/>
  <c r="A92" i="2"/>
  <c r="N91" i="2"/>
  <c r="K91" i="2"/>
  <c r="F91" i="2"/>
  <c r="E91" i="2"/>
  <c r="C91" i="2"/>
  <c r="B91" i="2"/>
  <c r="A91" i="2"/>
  <c r="N90" i="2"/>
  <c r="K90" i="2"/>
  <c r="F90" i="2"/>
  <c r="E90" i="2"/>
  <c r="C90" i="2"/>
  <c r="B90" i="2"/>
  <c r="A90" i="2"/>
  <c r="N89" i="2"/>
  <c r="K89" i="2"/>
  <c r="F89" i="2"/>
  <c r="E89" i="2"/>
  <c r="C89" i="2"/>
  <c r="B89" i="2"/>
  <c r="A89" i="2"/>
  <c r="N88" i="2"/>
  <c r="K88" i="2"/>
  <c r="F88" i="2"/>
  <c r="E88" i="2"/>
  <c r="C88" i="2"/>
  <c r="B88" i="2"/>
  <c r="A88" i="2"/>
  <c r="N87" i="2"/>
  <c r="K87" i="2"/>
  <c r="F87" i="2"/>
  <c r="E87" i="2"/>
  <c r="C87" i="2"/>
  <c r="B87" i="2"/>
  <c r="A87" i="2"/>
  <c r="N86" i="2"/>
  <c r="J86" i="2"/>
  <c r="F86" i="2"/>
  <c r="E86" i="2"/>
  <c r="C86" i="2"/>
  <c r="B86" i="2"/>
  <c r="A86" i="2"/>
  <c r="N85" i="2"/>
  <c r="K85" i="2"/>
  <c r="J85" i="2"/>
  <c r="F85" i="2"/>
  <c r="E85" i="2"/>
  <c r="D85" i="2"/>
  <c r="C85" i="2"/>
  <c r="B85" i="2"/>
  <c r="A85" i="2"/>
  <c r="N84" i="2"/>
  <c r="K84" i="2"/>
  <c r="J84" i="2"/>
  <c r="F84" i="2"/>
  <c r="E84" i="2"/>
  <c r="D84" i="2"/>
  <c r="C84" i="2"/>
  <c r="B84" i="2"/>
  <c r="A84" i="2"/>
  <c r="N83" i="2"/>
  <c r="K83" i="2"/>
  <c r="J83" i="2"/>
  <c r="F83" i="2"/>
  <c r="E83" i="2"/>
  <c r="D83" i="2"/>
  <c r="C83" i="2"/>
  <c r="B83" i="2"/>
  <c r="A83" i="2"/>
  <c r="N82" i="2"/>
  <c r="K82" i="2"/>
  <c r="J82" i="2"/>
  <c r="F82" i="2"/>
  <c r="E82" i="2"/>
  <c r="D82" i="2"/>
  <c r="C82" i="2"/>
  <c r="B82" i="2"/>
  <c r="A82" i="2"/>
  <c r="N81" i="2"/>
  <c r="K81" i="2"/>
  <c r="J81" i="2"/>
  <c r="F81" i="2"/>
  <c r="E81" i="2"/>
  <c r="C81" i="2"/>
  <c r="B81" i="2"/>
  <c r="A81" i="2"/>
  <c r="N80" i="2"/>
  <c r="H80" i="2"/>
  <c r="G80" i="2"/>
  <c r="F80" i="2"/>
  <c r="E80" i="2"/>
  <c r="C80" i="2"/>
  <c r="B80" i="2"/>
  <c r="A80" i="2"/>
  <c r="N79" i="2"/>
  <c r="K79" i="2"/>
  <c r="J79" i="2"/>
  <c r="F79" i="2"/>
  <c r="E79" i="2"/>
  <c r="C79" i="2"/>
  <c r="B79" i="2"/>
  <c r="A79" i="2"/>
  <c r="N78" i="2"/>
  <c r="K78" i="2"/>
  <c r="F78" i="2"/>
  <c r="E78" i="2"/>
  <c r="C78" i="2"/>
  <c r="B78" i="2"/>
  <c r="A78" i="2"/>
  <c r="N77" i="2"/>
  <c r="K77" i="2"/>
  <c r="F77" i="2"/>
  <c r="E77" i="2"/>
  <c r="C77" i="2"/>
  <c r="B77" i="2"/>
  <c r="A77" i="2"/>
  <c r="N76" i="2"/>
  <c r="K76" i="2"/>
  <c r="J76" i="2"/>
  <c r="F76" i="2"/>
  <c r="E76" i="2"/>
  <c r="C76" i="2"/>
  <c r="B76" i="2"/>
  <c r="A76" i="2"/>
  <c r="N75" i="2"/>
  <c r="K75" i="2"/>
  <c r="F75" i="2"/>
  <c r="E75" i="2"/>
  <c r="C75" i="2"/>
  <c r="B75" i="2"/>
  <c r="A75" i="2"/>
  <c r="N74" i="2"/>
  <c r="K74" i="2"/>
  <c r="F74" i="2"/>
  <c r="E74" i="2"/>
  <c r="C74" i="2"/>
  <c r="B74" i="2"/>
  <c r="A74" i="2"/>
  <c r="N73" i="2"/>
  <c r="K73" i="2"/>
  <c r="F73" i="2"/>
  <c r="E73" i="2"/>
  <c r="C73" i="2"/>
  <c r="B73" i="2"/>
  <c r="A73" i="2"/>
  <c r="N72" i="2"/>
  <c r="K72" i="2"/>
  <c r="F72" i="2"/>
  <c r="E72" i="2"/>
  <c r="C72" i="2"/>
  <c r="B72" i="2"/>
  <c r="A72" i="2"/>
  <c r="N71" i="2"/>
  <c r="K71" i="2"/>
  <c r="F71" i="2"/>
  <c r="E71" i="2"/>
  <c r="C71" i="2"/>
  <c r="B71" i="2"/>
  <c r="A71" i="2"/>
  <c r="N70" i="2"/>
  <c r="K70" i="2"/>
  <c r="J70" i="2"/>
  <c r="F70" i="2"/>
  <c r="E70" i="2"/>
  <c r="C70" i="2"/>
  <c r="B70" i="2"/>
  <c r="A70" i="2"/>
  <c r="N69" i="2"/>
  <c r="K69" i="2"/>
  <c r="F69" i="2"/>
  <c r="E69" i="2"/>
  <c r="C69" i="2"/>
  <c r="B69" i="2"/>
  <c r="A69" i="2"/>
  <c r="N68" i="2"/>
  <c r="K68" i="2"/>
  <c r="J68" i="2"/>
  <c r="F68" i="2"/>
  <c r="E68" i="2"/>
  <c r="C68" i="2"/>
  <c r="B68" i="2"/>
  <c r="A68" i="2"/>
  <c r="N67" i="2"/>
  <c r="K67" i="2"/>
  <c r="J67" i="2"/>
  <c r="F67" i="2"/>
  <c r="E67" i="2"/>
  <c r="C67" i="2"/>
  <c r="B67" i="2"/>
  <c r="A67" i="2"/>
  <c r="N66" i="2"/>
  <c r="K66" i="2"/>
  <c r="H66" i="2"/>
  <c r="G66" i="2"/>
  <c r="F66" i="2"/>
  <c r="E66" i="2"/>
  <c r="C66" i="2"/>
  <c r="B66" i="2"/>
  <c r="A66" i="2"/>
  <c r="N65" i="2"/>
  <c r="K65" i="2"/>
  <c r="J65" i="2"/>
  <c r="F65" i="2"/>
  <c r="E65" i="2"/>
  <c r="C65" i="2"/>
  <c r="B65" i="2"/>
  <c r="A65" i="2"/>
  <c r="N64" i="2"/>
  <c r="K64" i="2"/>
  <c r="J64" i="2"/>
  <c r="F64" i="2"/>
  <c r="E64" i="2"/>
  <c r="D64" i="2"/>
  <c r="C64" i="2"/>
  <c r="B64" i="2"/>
  <c r="A64" i="2"/>
  <c r="N63" i="2"/>
  <c r="K63" i="2"/>
  <c r="F63" i="2"/>
  <c r="E63" i="2"/>
  <c r="D63" i="2"/>
  <c r="C63" i="2"/>
  <c r="B63" i="2"/>
  <c r="A63" i="2"/>
  <c r="N62" i="2"/>
  <c r="K62" i="2"/>
  <c r="J62" i="2"/>
  <c r="F62" i="2"/>
  <c r="E62" i="2"/>
  <c r="C62" i="2"/>
  <c r="B62" i="2"/>
  <c r="A62" i="2"/>
  <c r="N61" i="2"/>
  <c r="K61" i="2"/>
  <c r="J61" i="2"/>
  <c r="F61" i="2"/>
  <c r="E61" i="2"/>
  <c r="C61" i="2"/>
  <c r="B61" i="2"/>
  <c r="A61" i="2"/>
  <c r="N60" i="2"/>
  <c r="F60" i="2"/>
  <c r="E60" i="2"/>
  <c r="C60" i="2"/>
  <c r="B60" i="2"/>
  <c r="A60" i="2"/>
  <c r="N59" i="2"/>
  <c r="K59" i="2"/>
  <c r="J59" i="2"/>
  <c r="F59" i="2"/>
  <c r="E59" i="2"/>
  <c r="C59" i="2"/>
  <c r="B59" i="2"/>
  <c r="A59" i="2"/>
  <c r="N58" i="2"/>
  <c r="K58" i="2"/>
  <c r="J58" i="2"/>
  <c r="F58" i="2"/>
  <c r="E58" i="2"/>
  <c r="C58" i="2"/>
  <c r="B58" i="2"/>
  <c r="A58" i="2"/>
  <c r="N57" i="2"/>
  <c r="F57" i="2"/>
  <c r="E57" i="2"/>
  <c r="C57" i="2"/>
  <c r="B57" i="2"/>
  <c r="A57" i="2"/>
  <c r="N56" i="2"/>
  <c r="K56" i="2"/>
  <c r="F56" i="2"/>
  <c r="E56" i="2"/>
  <c r="C56" i="2"/>
  <c r="B56" i="2"/>
  <c r="A56" i="2"/>
  <c r="N55" i="2"/>
  <c r="K55" i="2"/>
  <c r="F55" i="2"/>
  <c r="E55" i="2"/>
  <c r="C55" i="2"/>
  <c r="B55" i="2"/>
  <c r="A55" i="2"/>
  <c r="N54" i="2"/>
  <c r="K54" i="2"/>
  <c r="F54" i="2"/>
  <c r="E54" i="2"/>
  <c r="C54" i="2"/>
  <c r="B54" i="2"/>
  <c r="A54" i="2"/>
  <c r="N53" i="2"/>
  <c r="K53" i="2"/>
  <c r="J53" i="2"/>
  <c r="G53" i="2"/>
  <c r="F53" i="2"/>
  <c r="E53" i="2"/>
  <c r="D53" i="2"/>
  <c r="C53" i="2"/>
  <c r="B53" i="2"/>
  <c r="A53" i="2"/>
  <c r="N52" i="2"/>
  <c r="K52" i="2"/>
  <c r="F52" i="2"/>
  <c r="E52" i="2"/>
  <c r="C52" i="2"/>
  <c r="B52" i="2"/>
  <c r="A52" i="2"/>
  <c r="N51" i="2"/>
  <c r="F51" i="2"/>
  <c r="E51" i="2"/>
  <c r="D51" i="2"/>
  <c r="C51" i="2"/>
  <c r="B51" i="2"/>
  <c r="A51" i="2"/>
  <c r="N50" i="2"/>
  <c r="K50" i="2"/>
  <c r="J50" i="2"/>
  <c r="F50" i="2"/>
  <c r="E50" i="2"/>
  <c r="C50" i="2"/>
  <c r="B50" i="2"/>
  <c r="A50" i="2"/>
  <c r="N49" i="2"/>
  <c r="K49" i="2"/>
  <c r="F49" i="2"/>
  <c r="E49" i="2"/>
  <c r="C49" i="2"/>
  <c r="B49" i="2"/>
  <c r="A49" i="2"/>
  <c r="N48" i="2"/>
  <c r="K48" i="2"/>
  <c r="J48" i="2"/>
  <c r="F48" i="2"/>
  <c r="E48" i="2"/>
  <c r="C48" i="2"/>
  <c r="B48" i="2"/>
  <c r="A48" i="2"/>
  <c r="N47" i="2"/>
  <c r="K47" i="2"/>
  <c r="F47" i="2"/>
  <c r="E47" i="2"/>
  <c r="D47" i="2"/>
  <c r="C47" i="2"/>
  <c r="B47" i="2"/>
  <c r="A47" i="2"/>
  <c r="N46" i="2"/>
  <c r="K46" i="2"/>
  <c r="J46" i="2"/>
  <c r="F46" i="2"/>
  <c r="E46" i="2"/>
  <c r="C46" i="2"/>
  <c r="B46" i="2"/>
  <c r="A46" i="2"/>
  <c r="N45" i="2"/>
  <c r="K45" i="2"/>
  <c r="J45" i="2"/>
  <c r="F45" i="2"/>
  <c r="E45" i="2"/>
  <c r="C45" i="2"/>
  <c r="B45" i="2"/>
  <c r="A45" i="2"/>
  <c r="N44" i="2"/>
  <c r="K44" i="2"/>
  <c r="F44" i="2"/>
  <c r="E44" i="2"/>
  <c r="C44" i="2"/>
  <c r="B44" i="2"/>
  <c r="A44" i="2"/>
  <c r="N43" i="2"/>
  <c r="K43" i="2"/>
  <c r="F43" i="2"/>
  <c r="E43" i="2"/>
  <c r="C43" i="2"/>
  <c r="B43" i="2"/>
  <c r="A43" i="2"/>
  <c r="N42" i="2"/>
  <c r="K42" i="2"/>
  <c r="F42" i="2"/>
  <c r="E42" i="2"/>
  <c r="C42" i="2"/>
  <c r="B42" i="2"/>
  <c r="A42" i="2"/>
  <c r="N41" i="2"/>
  <c r="K41" i="2"/>
  <c r="J41" i="2"/>
  <c r="F41" i="2"/>
  <c r="E41" i="2"/>
  <c r="C41" i="2"/>
  <c r="B41" i="2"/>
  <c r="A41" i="2"/>
  <c r="N40" i="2"/>
  <c r="K40" i="2"/>
  <c r="F40" i="2"/>
  <c r="E40" i="2"/>
  <c r="C40" i="2"/>
  <c r="B40" i="2"/>
  <c r="A40" i="2"/>
  <c r="N39" i="2"/>
  <c r="K39" i="2"/>
  <c r="F39" i="2"/>
  <c r="E39" i="2"/>
  <c r="C39" i="2"/>
  <c r="B39" i="2"/>
  <c r="A39" i="2"/>
  <c r="N38" i="2"/>
  <c r="K38" i="2"/>
  <c r="F38" i="2"/>
  <c r="E38" i="2"/>
  <c r="C38" i="2"/>
  <c r="B38" i="2"/>
  <c r="A38" i="2"/>
  <c r="N37" i="2"/>
  <c r="K37" i="2"/>
  <c r="F37" i="2"/>
  <c r="E37" i="2"/>
  <c r="C37" i="2"/>
  <c r="B37" i="2"/>
  <c r="A37" i="2"/>
  <c r="N36" i="2"/>
  <c r="K36" i="2"/>
  <c r="F36" i="2"/>
  <c r="E36" i="2"/>
  <c r="C36" i="2"/>
  <c r="B36" i="2"/>
  <c r="A36" i="2"/>
  <c r="N35" i="2"/>
  <c r="K35" i="2"/>
  <c r="J35" i="2"/>
  <c r="I35" i="2"/>
  <c r="F35" i="2"/>
  <c r="E35" i="2"/>
  <c r="C35" i="2"/>
  <c r="B35" i="2"/>
  <c r="A35" i="2"/>
  <c r="N34" i="2"/>
  <c r="K34" i="2"/>
  <c r="J34" i="2"/>
  <c r="F34" i="2"/>
  <c r="E34" i="2"/>
  <c r="C34" i="2"/>
  <c r="B34" i="2"/>
  <c r="A34" i="2"/>
  <c r="N33" i="2"/>
  <c r="K33" i="2"/>
  <c r="J33" i="2"/>
  <c r="F33" i="2"/>
  <c r="E33" i="2"/>
  <c r="C33" i="2"/>
  <c r="B33" i="2"/>
  <c r="A33" i="2"/>
  <c r="N32" i="2"/>
  <c r="K32" i="2"/>
  <c r="F32" i="2"/>
  <c r="E32" i="2"/>
  <c r="C32" i="2"/>
  <c r="B32" i="2"/>
  <c r="A32" i="2"/>
  <c r="N31" i="2"/>
  <c r="J31" i="2"/>
  <c r="F31" i="2"/>
  <c r="E31" i="2"/>
  <c r="D31" i="2"/>
  <c r="C31" i="2"/>
  <c r="B31" i="2"/>
  <c r="A31" i="2"/>
  <c r="N30" i="2"/>
  <c r="K30" i="2"/>
  <c r="F30" i="2"/>
  <c r="E30" i="2"/>
  <c r="C30" i="2"/>
  <c r="B30" i="2"/>
  <c r="A30" i="2"/>
  <c r="N29" i="2"/>
  <c r="F29" i="2"/>
  <c r="E29" i="2"/>
  <c r="C29" i="2"/>
  <c r="B29" i="2"/>
  <c r="A29" i="2"/>
  <c r="N28" i="2"/>
  <c r="K28" i="2"/>
  <c r="I28" i="2"/>
  <c r="F28" i="2"/>
  <c r="E28" i="2"/>
  <c r="D28" i="2"/>
  <c r="C28" i="2"/>
  <c r="B28" i="2"/>
  <c r="A28" i="2"/>
  <c r="N27" i="2"/>
  <c r="K27" i="2"/>
  <c r="F27" i="2"/>
  <c r="E27" i="2"/>
  <c r="C27" i="2"/>
  <c r="B27" i="2"/>
  <c r="A27" i="2"/>
  <c r="N26" i="2"/>
  <c r="L26" i="2"/>
  <c r="K26" i="2"/>
  <c r="J26" i="2"/>
  <c r="G26" i="2"/>
  <c r="F26" i="2"/>
  <c r="E26" i="2"/>
  <c r="D26" i="2"/>
  <c r="C26" i="2"/>
  <c r="B26" i="2"/>
  <c r="A26" i="2"/>
  <c r="N25" i="2"/>
  <c r="K25" i="2"/>
  <c r="F25" i="2"/>
  <c r="E25" i="2"/>
  <c r="D25" i="2"/>
  <c r="C25" i="2"/>
  <c r="B25" i="2"/>
  <c r="A25" i="2"/>
  <c r="N24" i="2"/>
  <c r="K24" i="2"/>
  <c r="F24" i="2"/>
  <c r="E24" i="2"/>
  <c r="D24" i="2"/>
  <c r="C24" i="2"/>
  <c r="B24" i="2"/>
  <c r="A24" i="2"/>
  <c r="N23" i="2"/>
  <c r="K23" i="2"/>
  <c r="J23" i="2"/>
  <c r="F23" i="2"/>
  <c r="E23" i="2"/>
  <c r="C23" i="2"/>
  <c r="B23" i="2"/>
  <c r="A23" i="2"/>
  <c r="N22" i="2"/>
  <c r="K22" i="2"/>
  <c r="F22" i="2"/>
  <c r="E22" i="2"/>
  <c r="C22" i="2"/>
  <c r="B22" i="2"/>
  <c r="A22" i="2"/>
  <c r="N21" i="2"/>
  <c r="K21" i="2"/>
  <c r="F21" i="2"/>
  <c r="E21" i="2"/>
  <c r="C21" i="2"/>
  <c r="B21" i="2"/>
  <c r="A21" i="2"/>
  <c r="N20" i="2"/>
  <c r="K20" i="2"/>
  <c r="J20" i="2"/>
  <c r="F20" i="2"/>
  <c r="E20" i="2"/>
  <c r="C20" i="2"/>
  <c r="B20" i="2"/>
  <c r="A20" i="2"/>
  <c r="N19" i="2"/>
  <c r="K19" i="2"/>
  <c r="J19" i="2"/>
  <c r="F19" i="2"/>
  <c r="E19" i="2"/>
  <c r="C19" i="2"/>
  <c r="B19" i="2"/>
  <c r="A19" i="2"/>
  <c r="N18" i="2"/>
  <c r="K18" i="2"/>
  <c r="J18" i="2"/>
  <c r="F18" i="2"/>
  <c r="E18" i="2"/>
  <c r="C18" i="2"/>
  <c r="B18" i="2"/>
  <c r="A18" i="2"/>
  <c r="N17" i="2"/>
  <c r="K17" i="2"/>
  <c r="J17" i="2"/>
  <c r="G17" i="2"/>
  <c r="F17" i="2"/>
  <c r="E17" i="2"/>
  <c r="C17" i="2"/>
  <c r="B17" i="2"/>
  <c r="A17" i="2"/>
  <c r="N16" i="2"/>
  <c r="K16" i="2"/>
  <c r="J16" i="2"/>
  <c r="F16" i="2"/>
  <c r="E16" i="2"/>
  <c r="C16" i="2"/>
  <c r="B16" i="2"/>
  <c r="A16" i="2"/>
  <c r="N15" i="2"/>
  <c r="K15" i="2"/>
  <c r="F15" i="2"/>
  <c r="E15" i="2"/>
  <c r="C15" i="2"/>
  <c r="B15" i="2"/>
  <c r="A15" i="2"/>
  <c r="N14" i="2"/>
  <c r="K14" i="2"/>
  <c r="J14" i="2"/>
  <c r="F14" i="2"/>
  <c r="E14" i="2"/>
  <c r="C14" i="2"/>
  <c r="B14" i="2"/>
  <c r="A14" i="2"/>
  <c r="N13" i="2"/>
  <c r="K13" i="2"/>
  <c r="F13" i="2"/>
  <c r="E13" i="2"/>
  <c r="C13" i="2"/>
  <c r="B13" i="2"/>
  <c r="A13" i="2"/>
  <c r="N12" i="2"/>
  <c r="K12" i="2"/>
  <c r="F12" i="2"/>
  <c r="E12" i="2"/>
  <c r="C12" i="2"/>
  <c r="B12" i="2"/>
  <c r="A12" i="2"/>
  <c r="N11" i="2"/>
  <c r="K11" i="2"/>
  <c r="F11" i="2"/>
  <c r="E11" i="2"/>
  <c r="C11" i="2"/>
  <c r="B11" i="2"/>
  <c r="A11" i="2"/>
  <c r="N10" i="2"/>
  <c r="F10" i="2"/>
  <c r="E10" i="2"/>
  <c r="C10" i="2"/>
  <c r="B10" i="2"/>
  <c r="A10" i="2"/>
  <c r="N9" i="2"/>
  <c r="K9" i="2"/>
  <c r="J9" i="2"/>
  <c r="F9" i="2"/>
  <c r="E9" i="2"/>
  <c r="C9" i="2"/>
  <c r="B9" i="2"/>
  <c r="A9" i="2"/>
  <c r="N8" i="2"/>
  <c r="F8" i="2"/>
  <c r="E8" i="2"/>
  <c r="C8" i="2"/>
  <c r="B8" i="2"/>
  <c r="A8" i="2"/>
  <c r="N7" i="2"/>
  <c r="K7" i="2"/>
  <c r="J7" i="2"/>
  <c r="F7" i="2"/>
  <c r="E7" i="2"/>
  <c r="C7" i="2"/>
  <c r="B7" i="2"/>
  <c r="A7" i="2"/>
  <c r="N6" i="2"/>
  <c r="K6" i="2"/>
  <c r="J6" i="2"/>
  <c r="F6" i="2"/>
  <c r="E6" i="2"/>
  <c r="C6" i="2"/>
  <c r="B6" i="2"/>
  <c r="A6" i="2"/>
  <c r="N5" i="2"/>
  <c r="K5" i="2"/>
  <c r="J5" i="2"/>
  <c r="F5" i="2"/>
  <c r="E5" i="2"/>
  <c r="C5" i="2"/>
  <c r="B5" i="2"/>
  <c r="A5" i="2"/>
  <c r="N4" i="2"/>
  <c r="K4" i="2"/>
  <c r="F4" i="2"/>
  <c r="E4" i="2"/>
  <c r="C4" i="2"/>
  <c r="B4" i="2"/>
  <c r="A4" i="2"/>
  <c r="N3" i="2"/>
  <c r="K3" i="2"/>
  <c r="F3" i="2"/>
  <c r="E3" i="2"/>
  <c r="C3" i="2"/>
  <c r="B3" i="2"/>
  <c r="A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<sst xmlns="http://schemas.openxmlformats.org/spreadsheetml/2006/main" count="5643" uniqueCount="1772">
  <si>
    <t>Author</t>
  </si>
  <si>
    <t>Author 3.0</t>
  </si>
  <si>
    <t>Title</t>
  </si>
  <si>
    <t>Add'l Author/ Series/Special Section</t>
  </si>
  <si>
    <t>Medium</t>
  </si>
  <si>
    <t>Category</t>
  </si>
  <si>
    <t>New Category</t>
  </si>
  <si>
    <t>Sub Category</t>
  </si>
  <si>
    <t>New Sub Category</t>
  </si>
  <si>
    <t>Tags</t>
  </si>
  <si>
    <t>Date Added</t>
  </si>
  <si>
    <t>Notes</t>
  </si>
  <si>
    <t>Author/Speaker/Series</t>
  </si>
  <si>
    <t>Name</t>
  </si>
  <si>
    <t>Adams, Jay</t>
  </si>
  <si>
    <t>The Biblical View of Self-Esteem, Self-Love, Self-Image</t>
  </si>
  <si>
    <t>Book</t>
  </si>
  <si>
    <t>Understanding Mankind</t>
  </si>
  <si>
    <t>Table1</t>
  </si>
  <si>
    <t>A Call for Discernment: Distinguishing Truth from Error in Today's Church</t>
  </si>
  <si>
    <t>Worldview</t>
  </si>
  <si>
    <t>Competent to Counsel</t>
  </si>
  <si>
    <t>Counseling</t>
  </si>
  <si>
    <t>Marriage, Divorce and Remarriage in the Bible</t>
  </si>
  <si>
    <t>Marriage, Divorce</t>
  </si>
  <si>
    <t>A Theology of Christian Counseling</t>
  </si>
  <si>
    <t>Alexander, T. Desmond</t>
  </si>
  <si>
    <t>The City of God and the Goal of Creation</t>
  </si>
  <si>
    <t>Theology</t>
  </si>
  <si>
    <t>Allberry, Sam</t>
  </si>
  <si>
    <t>Is God Anti-Gay?</t>
  </si>
  <si>
    <t>Homosexuality</t>
  </si>
  <si>
    <t>Why bother with the Church</t>
  </si>
  <si>
    <t>Church</t>
  </si>
  <si>
    <t>Allcock, Jonty</t>
  </si>
  <si>
    <t>Impossible Commands</t>
  </si>
  <si>
    <t>Discipleship</t>
  </si>
  <si>
    <t>Anderson, Courtney</t>
  </si>
  <si>
    <t>To the Golden Shore</t>
  </si>
  <si>
    <t>Biography</t>
  </si>
  <si>
    <t>Anderson, James N</t>
  </si>
  <si>
    <t>What's Your Worldview</t>
  </si>
  <si>
    <t>Andreades, Sam A.</t>
  </si>
  <si>
    <t>Dating with Discernment: 12 Questions to Make a Lasting Marriage</t>
  </si>
  <si>
    <t>Dating</t>
  </si>
  <si>
    <t>Andrews, Jim</t>
  </si>
  <si>
    <t>Polishing God's Monuments</t>
  </si>
  <si>
    <t>Anyabwile, Thabiti</t>
  </si>
  <si>
    <t>What is a Healthy Church Member?</t>
  </si>
  <si>
    <t>Church Membership</t>
  </si>
  <si>
    <t>Ash, Christopher</t>
  </si>
  <si>
    <t>The Book Your Pastor Wishes You Would Read (but is too embarrassed to ask)</t>
  </si>
  <si>
    <t>Church Leaders</t>
  </si>
  <si>
    <t>Zeal without Burnout</t>
  </si>
  <si>
    <t>Ash, Christopher; Midgley, Steve</t>
  </si>
  <si>
    <t>The Heart of Anger: How the Bible Transforms Anger in Our Understanding and Experience</t>
  </si>
  <si>
    <t>Anger</t>
  </si>
  <si>
    <t>Aylward, Gladys</t>
  </si>
  <si>
    <t>Gladys Aylward: The Little Woman</t>
  </si>
  <si>
    <t>Missions</t>
  </si>
  <si>
    <t>Bainton, Roland H</t>
  </si>
  <si>
    <t>Here I Stand: A Life of Martin Luther</t>
  </si>
  <si>
    <t>Baldwin, Lindley</t>
  </si>
  <si>
    <t>Samuel Morris</t>
  </si>
  <si>
    <t>Banner of Trust</t>
  </si>
  <si>
    <t>Five Pioneer Missionaries</t>
  </si>
  <si>
    <t>Barr, Adam T.</t>
  </si>
  <si>
    <t>Compassion without Compromise</t>
  </si>
  <si>
    <t>Citlau, Ron</t>
  </si>
  <si>
    <t>Barret, Ethel</t>
  </si>
  <si>
    <t>John Welch: The Man Who Couldn't Be Stopped</t>
  </si>
  <si>
    <t>Trailblazers</t>
  </si>
  <si>
    <t>Children</t>
  </si>
  <si>
    <t>Barrett, Matthew</t>
  </si>
  <si>
    <t>God's Word Alone: The Authority of Scripture</t>
  </si>
  <si>
    <t>5 Solas</t>
  </si>
  <si>
    <t>Bible</t>
  </si>
  <si>
    <t>History</t>
  </si>
  <si>
    <t xml:space="preserve"> </t>
  </si>
  <si>
    <t>None Greater</t>
  </si>
  <si>
    <t>Owen on the Christian Life</t>
  </si>
  <si>
    <t>Haykin</t>
  </si>
  <si>
    <t>Puritans</t>
  </si>
  <si>
    <t>Salvation by Grace</t>
  </si>
  <si>
    <t>Barry, Rick</t>
  </si>
  <si>
    <t>Gunner's Run</t>
  </si>
  <si>
    <t>Baxter, Richard</t>
  </si>
  <si>
    <t>Depression, Anxiety, and the Christian Life</t>
  </si>
  <si>
    <t>Michael S. Lundy, J. I. Packer</t>
  </si>
  <si>
    <t>Depression</t>
  </si>
  <si>
    <t>Beale and Carson, editors</t>
  </si>
  <si>
    <t>Commentary on the New Testament Use of the OT</t>
  </si>
  <si>
    <t>Reference</t>
  </si>
  <si>
    <t>Beale, David</t>
  </si>
  <si>
    <t>A Pictorial History of Our English Bible</t>
  </si>
  <si>
    <t>Beeke, Joel</t>
  </si>
  <si>
    <t>Getting Back in the Race</t>
  </si>
  <si>
    <t>Sin</t>
  </si>
  <si>
    <t>Beeke, Joel R</t>
  </si>
  <si>
    <t>Parenting by God's Promises</t>
  </si>
  <si>
    <t>Parenting</t>
  </si>
  <si>
    <t>Beeke, Joel R and Diana Kleyn</t>
  </si>
  <si>
    <t>How God Sent a Dog to Save a Family</t>
  </si>
  <si>
    <t>How God Stopped the Pirates</t>
  </si>
  <si>
    <t>How God Used a Drought and an Umbrella</t>
  </si>
  <si>
    <t>How God Used a Snowdrift</t>
  </si>
  <si>
    <t>How God Used a Thunderstorm</t>
  </si>
  <si>
    <t>Benne, Robert</t>
  </si>
  <si>
    <t>Good and Bad Ways to Think About Religion and Politics</t>
  </si>
  <si>
    <t>Politics</t>
  </si>
  <si>
    <t>Ju-14</t>
  </si>
  <si>
    <t>Benware, Paul N.</t>
  </si>
  <si>
    <t>Understanding End Times Prophecy</t>
  </si>
  <si>
    <t>Eschatology</t>
  </si>
  <si>
    <t>Berg, Jim</t>
  </si>
  <si>
    <t>Changed Into His Image</t>
  </si>
  <si>
    <t>Created for His Glory</t>
  </si>
  <si>
    <t>Berry, Eileen M.</t>
  </si>
  <si>
    <t>Looking for Home</t>
  </si>
  <si>
    <t>Friendship</t>
  </si>
  <si>
    <t>Best, Dr. Megan</t>
  </si>
  <si>
    <t>Fearfully and Wonderfully Made</t>
  </si>
  <si>
    <t>Family Planning, Abortion</t>
  </si>
  <si>
    <t>Bevington, Bob; Bridges, Jerry</t>
  </si>
  <si>
    <t>The Great Exchange: My Sin for His Righteousness</t>
  </si>
  <si>
    <t>Bridges</t>
  </si>
  <si>
    <t>Salvation</t>
  </si>
  <si>
    <t>Billings, J. Todd</t>
  </si>
  <si>
    <t>Rejoicing in Lament: Wrestling with Incurable Cancer and Life in Christ</t>
  </si>
  <si>
    <t>Suffering, Cancer</t>
  </si>
  <si>
    <t>Block, Daniel I.</t>
  </si>
  <si>
    <t>The New American Commentary: Judges, Ruth</t>
  </si>
  <si>
    <t>Boekestein, William</t>
  </si>
  <si>
    <t>The Best Day of the Week: Why We Love the Lord's Day</t>
  </si>
  <si>
    <t>Sabbath</t>
  </si>
  <si>
    <t>Shepherd Warrior/Ulrich Zwingly</t>
  </si>
  <si>
    <t>Trail Blazers</t>
  </si>
  <si>
    <t>Boice, James Montgomery</t>
  </si>
  <si>
    <t>How to Live the Christian Life</t>
  </si>
  <si>
    <t>Jesus on Trial</t>
  </si>
  <si>
    <t>Ryken</t>
  </si>
  <si>
    <t>Worldview?</t>
  </si>
  <si>
    <t>Apologetics</t>
  </si>
  <si>
    <t>Whatever Happened to the Gospel of Grace?</t>
  </si>
  <si>
    <t>Bonar, Andrew</t>
  </si>
  <si>
    <t>Memoir and Remains of Robert Murray M'Cheyne</t>
  </si>
  <si>
    <t>Bonar, Marjory</t>
  </si>
  <si>
    <t>Andrew Bonar: The Good Pastor</t>
  </si>
  <si>
    <t>Bond, Douglas</t>
  </si>
  <si>
    <t>The Accidental Voyage: Discovering Hymns of the Early Centuries</t>
  </si>
  <si>
    <t>The Betrayal: A Novel on John Calvin</t>
  </si>
  <si>
    <t>Fiction</t>
  </si>
  <si>
    <t>Youth</t>
  </si>
  <si>
    <t>Grace Works!  (And Ways We Think It Doesn't)</t>
  </si>
  <si>
    <t>Law, Gospel</t>
  </si>
  <si>
    <t>Guns of Thunder</t>
  </si>
  <si>
    <t>The Revolt: A Novel on Wycliffe's England</t>
  </si>
  <si>
    <t>The Thunder: A Novel on John Knox</t>
  </si>
  <si>
    <t>Bond, Douglas and McComas, Douglas</t>
  </si>
  <si>
    <t>Girolamo Savonarola</t>
  </si>
  <si>
    <t>Bitesize Biographies</t>
  </si>
  <si>
    <t>Borgman, Brian</t>
  </si>
  <si>
    <t>Spiritual Warfare</t>
  </si>
  <si>
    <t>Ventura</t>
  </si>
  <si>
    <t>Warfare</t>
  </si>
  <si>
    <t>Borgmann, Albert</t>
  </si>
  <si>
    <t>Transhumanism and the Image of God</t>
  </si>
  <si>
    <t>Technology</t>
  </si>
  <si>
    <t>Boston, Thomas</t>
  </si>
  <si>
    <t>Crook in the Lot, The</t>
  </si>
  <si>
    <t>Bounds, E.M.</t>
  </si>
  <si>
    <t>Power Through Prayer</t>
  </si>
  <si>
    <t>Prayer</t>
  </si>
  <si>
    <t>Reality of Prayer, The</t>
  </si>
  <si>
    <t>Brammer, Deb</t>
  </si>
  <si>
    <t>Moose</t>
  </si>
  <si>
    <t>Bray, Gerald</t>
  </si>
  <si>
    <t>God Has Spoken: A History of Christian Theology</t>
  </si>
  <si>
    <t>Bridges, Jerry</t>
  </si>
  <si>
    <t>The Crisis of Caring</t>
  </si>
  <si>
    <t>The Discipline of Grace</t>
  </si>
  <si>
    <t>The Gospel for Real Life</t>
  </si>
  <si>
    <t>The Practice of Godliness</t>
  </si>
  <si>
    <t>The Pursuit of Holiness</t>
  </si>
  <si>
    <t>Respectable Sins: Confronting the Sins We Tolerate</t>
  </si>
  <si>
    <t>Transforming Grace Living Confidently in God's Unfailing Love</t>
  </si>
  <si>
    <t>Transforming Power of the Gospel</t>
  </si>
  <si>
    <t>Trusting God Even When Life Hurts</t>
  </si>
  <si>
    <t>Suffering</t>
  </si>
  <si>
    <t>Brooks, Thomas</t>
  </si>
  <si>
    <t>Precious Remedies Against Satan's Devices</t>
  </si>
  <si>
    <t>Brown, Craig R</t>
  </si>
  <si>
    <t>The Five Dilemmas of Calvanism</t>
  </si>
  <si>
    <t>Calvinism</t>
  </si>
  <si>
    <t>Brown, John and Brian Wright</t>
  </si>
  <si>
    <t>Habakkuk's Song</t>
  </si>
  <si>
    <t>God's Daring Dozen: A Minor Prophet Series</t>
  </si>
  <si>
    <t>Bible Stories</t>
  </si>
  <si>
    <t>Haggai's Feast</t>
  </si>
  <si>
    <t>Obadiah and the Edomites</t>
  </si>
  <si>
    <t>Go</t>
  </si>
  <si>
    <t>Zephaniah's Hero</t>
  </si>
  <si>
    <t>Brownback, Lydia</t>
  </si>
  <si>
    <t>Fine China is for Single Women Too</t>
  </si>
  <si>
    <t>Singleness</t>
  </si>
  <si>
    <t>Bruce, A.B.</t>
  </si>
  <si>
    <t>The Training of the Twelve</t>
  </si>
  <si>
    <t>Bruss, Kelley Deegan</t>
  </si>
  <si>
    <t>Ira Sankey: Singing the Gospel</t>
  </si>
  <si>
    <t>Bull, Josiah</t>
  </si>
  <si>
    <t>The Life of John Newton</t>
  </si>
  <si>
    <t>Bunyan, John</t>
  </si>
  <si>
    <t>Grace Abounding to the Chief of Sinners</t>
  </si>
  <si>
    <t>The Holy War: The Battle for Mansoul</t>
  </si>
  <si>
    <t>Pilgrim's Progress</t>
  </si>
  <si>
    <t>Burk, Denny</t>
  </si>
  <si>
    <t>Transforming Homosexuality</t>
  </si>
  <si>
    <t>Heath Lambert</t>
  </si>
  <si>
    <t>Burroughs, Jeremiah</t>
  </si>
  <si>
    <t>Contentment, Prosperity, and God's Glory</t>
  </si>
  <si>
    <t>The Rare Jewel of Christian Contentment</t>
  </si>
  <si>
    <t>Butterfield, Rosaria</t>
  </si>
  <si>
    <t>The Gospel Comes with a House Key: Practicing Radically Ordinary Hospitality in Our Post-Christian World</t>
  </si>
  <si>
    <t>Hospitality, Evangelism</t>
  </si>
  <si>
    <t xml:space="preserve">Butterfield, Rosaria </t>
  </si>
  <si>
    <t>Openness Unhindered: Further Thoughts of an Unlikely Convert on Sexual Identity and Union with Christ</t>
  </si>
  <si>
    <t>Homosexuality, Gender Identity</t>
  </si>
  <si>
    <t>The Secret Thoughts of an Unlikely Convert</t>
  </si>
  <si>
    <t>Byrd, Aimee</t>
  </si>
  <si>
    <t xml:space="preserve">No Little Women: Equipping All Women in the Household of God </t>
  </si>
  <si>
    <t>Christian Women</t>
  </si>
  <si>
    <t>Theological Fitness: Why We Need a Fighting Faith</t>
  </si>
  <si>
    <t>Why Can't We Be Friends?  Avoidance Is Not Purity</t>
  </si>
  <si>
    <t>Fellowship</t>
  </si>
  <si>
    <t>Camilleri, Simon</t>
  </si>
  <si>
    <t>When Santa Learned the Gospel</t>
  </si>
  <si>
    <t>Caneday, Ardel B; Schreiner, Thomas R.</t>
  </si>
  <si>
    <t>The Race Set Before Us</t>
  </si>
  <si>
    <t>Schreiner</t>
  </si>
  <si>
    <t>Carmichael, Stephanie</t>
  </si>
  <si>
    <t>Over the Fence</t>
  </si>
  <si>
    <t>Green, Jessica</t>
  </si>
  <si>
    <t>The Rag Doll</t>
  </si>
  <si>
    <t>Carr, Simonetta</t>
  </si>
  <si>
    <t>Athanasius</t>
  </si>
  <si>
    <t>Augustine of Hippo</t>
  </si>
  <si>
    <t>John Calvin</t>
  </si>
  <si>
    <t>John Owen</t>
  </si>
  <si>
    <t>Lady Jane Grey</t>
  </si>
  <si>
    <t>Peter Martyr Vermigli</t>
  </si>
  <si>
    <t>Weight of a Flame: The Passion of Olympia Morata</t>
  </si>
  <si>
    <t>Carson, D.A.</t>
  </si>
  <si>
    <t>Becoming Conversant with the Emerging Church: Understanding a Movement and Its Implications</t>
  </si>
  <si>
    <t>A Call to Spiritual Reformation</t>
  </si>
  <si>
    <t>Collected Writings on Scripture</t>
  </si>
  <si>
    <t>The Cross and Christian Ministry</t>
  </si>
  <si>
    <t>The God Who Is There: Finding Your Place in God's Story</t>
  </si>
  <si>
    <t>The Gospel According to John</t>
  </si>
  <si>
    <t>How Long, O Lord?: Reflections on Suffering and Evil</t>
  </si>
  <si>
    <t>The Intolerance of Tolerance</t>
  </si>
  <si>
    <t>Postmodernism</t>
  </si>
  <si>
    <t>Memoirs of an Ordinary Pastor</t>
  </si>
  <si>
    <t>The Scriptures Testify About Me</t>
  </si>
  <si>
    <t>Carswell, Roger</t>
  </si>
  <si>
    <t>Grill a Christian: Answers to Touch Questions about Christianity, God and the Bible</t>
  </si>
  <si>
    <t>Carter, Anthony J.</t>
  </si>
  <si>
    <t>Dying to Speak: Meditations from the Cross</t>
  </si>
  <si>
    <t>Lee Fowler</t>
  </si>
  <si>
    <t>Castleman, Robbie</t>
  </si>
  <si>
    <t>Parenting in the Pew: Guiding Your Children into the Joy of Worship</t>
  </si>
  <si>
    <t>Church?</t>
  </si>
  <si>
    <t>Catherwood, Christopher</t>
  </si>
  <si>
    <t>Martyn Lloyd-Jones: From Wales to Westminster</t>
  </si>
  <si>
    <t>Challies, Tim</t>
  </si>
  <si>
    <t xml:space="preserve">Visual Theology: Seeing and Understanding the Truth About God </t>
  </si>
  <si>
    <t>Josh Byers</t>
  </si>
  <si>
    <t xml:space="preserve">Challies, Tim </t>
  </si>
  <si>
    <t>The Next Story: Life and Faith after the Digital Explosion</t>
  </si>
  <si>
    <t>Digital Age</t>
  </si>
  <si>
    <t>Challies, Tim/R.W. Glenn</t>
  </si>
  <si>
    <t>Modest: Men and Women Clothed in the Gospel</t>
  </si>
  <si>
    <t>Modesty</t>
  </si>
  <si>
    <t>Chandler, Lauren</t>
  </si>
  <si>
    <t>Goodbye to Goodbyes: A True Story about Jesus, Lazarus, and an Empty Tomb</t>
  </si>
  <si>
    <t>Tales that Tell the Truth</t>
  </si>
  <si>
    <t>Chantry, Walter J.</t>
  </si>
  <si>
    <t>Signs of the Apostles: Observations on Pentecostalism, Old and New</t>
  </si>
  <si>
    <t>Pentecostalism</t>
  </si>
  <si>
    <t>Chapell, Bryan</t>
  </si>
  <si>
    <t>Holiness by Grace</t>
  </si>
  <si>
    <t>I'll Love You Anyway &amp; Always</t>
  </si>
  <si>
    <t>Chediak, Alex</t>
  </si>
  <si>
    <t>With One Voice: Singleness, Dating &amp; Marriage to the Glory of God</t>
  </si>
  <si>
    <t>Singleness, Dating, Marriage</t>
  </si>
  <si>
    <t>Cheng, Gordon</t>
  </si>
  <si>
    <t>Encouragement: How Words Change Lives</t>
  </si>
  <si>
    <t>Guidebooks for Life</t>
  </si>
  <si>
    <t>Christie, Vance</t>
  </si>
  <si>
    <t>David Brainerd: A Flame for God</t>
  </si>
  <si>
    <t>Hudson Taylor: Gospel Pioneer to China</t>
  </si>
  <si>
    <t>Clark, Jayne V.</t>
  </si>
  <si>
    <t>Tori Comes Out of Her Shell</t>
  </si>
  <si>
    <t>Good News for Little Hearts</t>
  </si>
  <si>
    <t>Clark, Lynette G.</t>
  </si>
  <si>
    <t>Far Above Rubies: The Life of Bethan Lloyd-Jones</t>
  </si>
  <si>
    <t>Clark, Wayne C</t>
  </si>
  <si>
    <t>The Meaning of Church Membership</t>
  </si>
  <si>
    <t>9 Marks</t>
  </si>
  <si>
    <t>Clements, Philiip J., ed</t>
  </si>
  <si>
    <t>Business Ethics Today</t>
  </si>
  <si>
    <t>Vocation</t>
  </si>
  <si>
    <t>Clowney, Edmund P.</t>
  </si>
  <si>
    <t>The Church</t>
  </si>
  <si>
    <t>The Unfolding Mystery</t>
  </si>
  <si>
    <t>Cole, Cameron</t>
  </si>
  <si>
    <t>Therefore, I Have Hope: 12 Truths that Comfort, Sustain, and Redeem in Tragedy</t>
  </si>
  <si>
    <t>Grief</t>
  </si>
  <si>
    <t>Cooper, Derek</t>
  </si>
  <si>
    <t>Christianity and World Religions</t>
  </si>
  <si>
    <t>World Religions</t>
  </si>
  <si>
    <t>Corbett, Steve</t>
  </si>
  <si>
    <t>When Helping Hurts</t>
  </si>
  <si>
    <t>Fikkert</t>
  </si>
  <si>
    <t>Poverty, Charity</t>
  </si>
  <si>
    <t xml:space="preserve">Cosby, Brian  </t>
  </si>
  <si>
    <t>God's Story: A Student's Guide to Church History</t>
  </si>
  <si>
    <t>Church History</t>
  </si>
  <si>
    <t>Cosby, Brian H.</t>
  </si>
  <si>
    <t>A Love for the Lost: David Brainerd</t>
  </si>
  <si>
    <t>Crandall, Kimm</t>
  </si>
  <si>
    <t>Christ in the Chaos: How the Gospel Changes Motherhood</t>
  </si>
  <si>
    <t>Missing as of February 2020</t>
  </si>
  <si>
    <t>Croce, Mandy</t>
  </si>
  <si>
    <t>What is the Church?</t>
  </si>
  <si>
    <t>Bell, Bill/ 9 Marks</t>
  </si>
  <si>
    <t>9 Marks?</t>
  </si>
  <si>
    <t>Cross, John R.</t>
  </si>
  <si>
    <t>The Stranger on the Road to Emmaus</t>
  </si>
  <si>
    <t>Crowe, Brandon D.</t>
  </si>
  <si>
    <t>Why Did Jesus Life a Perfect Life?  The Necessity of Christ's Obedience for Our Salvation</t>
  </si>
  <si>
    <t>Crowe, Jaquelle</t>
  </si>
  <si>
    <t>This Changes Everything: How the Gospel Transforms the Teen Years</t>
  </si>
  <si>
    <t>Dallimore, Arnold</t>
  </si>
  <si>
    <t>George Whitfield Volumes 1 &amp; 3</t>
  </si>
  <si>
    <t>Davies, Eryl</t>
  </si>
  <si>
    <t>Dr. D. Martyn Lloyd-Jones</t>
  </si>
  <si>
    <t>DeRouchie, Jason S.</t>
  </si>
  <si>
    <t>How to Understand and Apply the Old Testament</t>
  </si>
  <si>
    <t>Dever, Connie</t>
  </si>
  <si>
    <t>He Will Hold Me Fast: A Journey With Grace Through Cancer</t>
  </si>
  <si>
    <t>Suffering, Sickness</t>
  </si>
  <si>
    <t>Dever, Mark</t>
  </si>
  <si>
    <t>The Compelling Community</t>
  </si>
  <si>
    <t>Dunlop/ 9 Marks</t>
  </si>
  <si>
    <t>The Deliberate Church</t>
  </si>
  <si>
    <t>Alexander/ 9 Marks</t>
  </si>
  <si>
    <t>Discipling</t>
  </si>
  <si>
    <t>God and Politics</t>
  </si>
  <si>
    <t>The Gospel and Personal Evangelism</t>
  </si>
  <si>
    <t>Evangelism</t>
  </si>
  <si>
    <t>Nine Marks of a Healthy Church</t>
  </si>
  <si>
    <t>Twelve Challenges Churches Face</t>
  </si>
  <si>
    <t>Understanding the Great Commission</t>
  </si>
  <si>
    <t>Church Basics</t>
  </si>
  <si>
    <t>What Does God Want of Us Anyway?  A Quick Overview of the Whole Bible</t>
  </si>
  <si>
    <t>Charles Clayton</t>
  </si>
  <si>
    <t>What Is a Healthy Church?</t>
  </si>
  <si>
    <t>DeYoung, Kevin</t>
  </si>
  <si>
    <t>Crazy Busy</t>
  </si>
  <si>
    <t>Time Management</t>
  </si>
  <si>
    <t>Just Do Something</t>
  </si>
  <si>
    <t>Men and Women of the Church: A Short, Biblical, Practical Introduction</t>
  </si>
  <si>
    <t>Gender Roles</t>
  </si>
  <si>
    <t>What Does the Bible Really Teach About Homosexuality?</t>
  </si>
  <si>
    <t>DeYoung, Kevin; Kluck, Ted</t>
  </si>
  <si>
    <t>Why We Love the Church</t>
  </si>
  <si>
    <t>Kluck</t>
  </si>
  <si>
    <t>Dick, Lois Hoadley</t>
  </si>
  <si>
    <t>Isobel Kuhn</t>
  </si>
  <si>
    <t>Diprose, Ronald E.</t>
  </si>
  <si>
    <t>Israel and the Church</t>
  </si>
  <si>
    <t>Israel</t>
  </si>
  <si>
    <t>Doriani, Daniel M.</t>
  </si>
  <si>
    <t>Getting the Message: A Plan for Interpreting and Applying the Bible</t>
  </si>
  <si>
    <t>Work That Makes a Difference</t>
  </si>
  <si>
    <t>Vocation, Work</t>
  </si>
  <si>
    <t>Work: Its Purpose, Dignity, and Transformation</t>
  </si>
  <si>
    <t>Drew, Charles D</t>
  </si>
  <si>
    <t>A Journey Worth Taking:  Finding Your Purpose in This World</t>
  </si>
  <si>
    <t>Duguid, Barbara R</t>
  </si>
  <si>
    <t>Extravagant Grace</t>
  </si>
  <si>
    <t>Prone to Wander: Prayers of Confession &amp; Celebration</t>
  </si>
  <si>
    <t>Discipleship?</t>
  </si>
  <si>
    <t>Prayer, Sin</t>
  </si>
  <si>
    <t>Duguid, Barbara R.</t>
  </si>
  <si>
    <t>Streams of Mercy: Prayers of Confession and Celebration</t>
  </si>
  <si>
    <t>Duncan, J. Ligon; Hunt, Susan</t>
  </si>
  <si>
    <t>Women's Ministry in the Local Church</t>
  </si>
  <si>
    <t>Hunt</t>
  </si>
  <si>
    <t>Dunham, David R.</t>
  </si>
  <si>
    <t>Addictive Habits: Changing for Good</t>
  </si>
  <si>
    <t>Devotionals</t>
  </si>
  <si>
    <t>Dunlop, Ed</t>
  </si>
  <si>
    <t>Escape to Liechtenstein</t>
  </si>
  <si>
    <t>The Incredible Rescues</t>
  </si>
  <si>
    <t>The Search for the Silver Eagle</t>
  </si>
  <si>
    <t>DVD Accompaniment</t>
  </si>
  <si>
    <t>D.M. Martin Lloyd-Jones Logic on Fire</t>
  </si>
  <si>
    <t>Editor M.D. Perkins</t>
  </si>
  <si>
    <t>Dykas, Ellen ed</t>
  </si>
  <si>
    <t>Sexual Sanity for Women</t>
  </si>
  <si>
    <t>Sexuality, Christian Women</t>
  </si>
  <si>
    <t>Eastman, Brock</t>
  </si>
  <si>
    <t>Risk</t>
  </si>
  <si>
    <t>The Quest for Truth</t>
  </si>
  <si>
    <t>Taken</t>
  </si>
  <si>
    <t>Tangle</t>
  </si>
  <si>
    <t>Unleash</t>
  </si>
  <si>
    <t>Edersheim, Alfred</t>
  </si>
  <si>
    <t>The Life and Times of Jesus the Messiah</t>
  </si>
  <si>
    <t>Edgar, William</t>
  </si>
  <si>
    <t>The Face of Truth</t>
  </si>
  <si>
    <t>You Asked: Your Questions.  God's Answers.</t>
  </si>
  <si>
    <t>Edwards, James R.</t>
  </si>
  <si>
    <t>The Gospel According to Mark</t>
  </si>
  <si>
    <t>Elliot, Elizabeth</t>
  </si>
  <si>
    <t>Keep a Quiet Heart</t>
  </si>
  <si>
    <t>Passion and Purity</t>
  </si>
  <si>
    <t>Secure in the Everlasting Arms</t>
  </si>
  <si>
    <t>Shadow of the Almighty: Life &amp; Testament of Jim Elliot</t>
  </si>
  <si>
    <t>Through Gates of Splendor</t>
  </si>
  <si>
    <t>Elwell, Walter</t>
  </si>
  <si>
    <t>Evangelical Dictionary of Theology</t>
  </si>
  <si>
    <t>Emlet, Michael R.</t>
  </si>
  <si>
    <t>Descriptions and Prescriptions: A Biblical Perspective on Psychiatric Diagnoses and Medications</t>
  </si>
  <si>
    <t>Saints, Sufferers, and Sinners: Loving Others as God Loves Us</t>
  </si>
  <si>
    <t>Suffering, Relationships</t>
  </si>
  <si>
    <t>Epp, Theodore H.</t>
  </si>
  <si>
    <t>Why Do Christians Suffer?</t>
  </si>
  <si>
    <t>Erdmans</t>
  </si>
  <si>
    <t>Dangerous Journey</t>
  </si>
  <si>
    <t>Erickson, Millard J.</t>
  </si>
  <si>
    <t>A Basic Guide to Eschatology</t>
  </si>
  <si>
    <t>Christian Theology</t>
  </si>
  <si>
    <t>Farenhorst, Christine</t>
  </si>
  <si>
    <t>Wings Like a Dove: Courage of Queen Jeanne D'Albret</t>
  </si>
  <si>
    <t>Farley, William P.</t>
  </si>
  <si>
    <t>Gospel-Powered Parenting: How the Gospel Shapes and Transforms Parenting</t>
  </si>
  <si>
    <t>Hidden in the Gospel: Truths You Forget to Tell Yourself Every Day</t>
  </si>
  <si>
    <t>Gospel</t>
  </si>
  <si>
    <t>Farnes, Catherine</t>
  </si>
  <si>
    <t>Over the Divide</t>
  </si>
  <si>
    <t>Slide, The</t>
  </si>
  <si>
    <t>Fee, Gordon</t>
  </si>
  <si>
    <t>How to Read the Bible for All It's Worth</t>
  </si>
  <si>
    <t>Stuart</t>
  </si>
  <si>
    <t>Ferguson Sinclair B.</t>
  </si>
  <si>
    <t>The Christian Life: A Doctrinal Introduction</t>
  </si>
  <si>
    <t>Deserted by God?</t>
  </si>
  <si>
    <t>Counseling, Suffering</t>
  </si>
  <si>
    <t>Devoted to God</t>
  </si>
  <si>
    <t>Discovering God's Will</t>
  </si>
  <si>
    <t>The Grace of Repentance</t>
  </si>
  <si>
    <t>Ignatius of Antioch</t>
  </si>
  <si>
    <t>Irenaeus of Lyons</t>
  </si>
  <si>
    <t>Jesus Teaches Us How to Be Good</t>
  </si>
  <si>
    <t>Jesus Teaches Us How to Be Happy</t>
  </si>
  <si>
    <t>Jesus Teaches Us How to Be Wise</t>
  </si>
  <si>
    <t>Jesus Teaches Us How to Pray</t>
  </si>
  <si>
    <t>Maturity: Growing Up and Going on in the Christian Life</t>
  </si>
  <si>
    <t>Polycarp of Smyrna</t>
  </si>
  <si>
    <t>book</t>
  </si>
  <si>
    <t>Ferguson, Sinclair B</t>
  </si>
  <si>
    <t>The Sermon on the Mount: Kingdom Life in a Fallen World</t>
  </si>
  <si>
    <t>Ferguson, Sinclair B.</t>
  </si>
  <si>
    <t>The Big Book of Bible Truths, Part 2</t>
  </si>
  <si>
    <t>The Big Book of Questions and Answers About Jesus</t>
  </si>
  <si>
    <t>The Big Book of Questions and Answers</t>
  </si>
  <si>
    <t>Devoted to God's Church: Core Values for Christian Fellowship</t>
  </si>
  <si>
    <t>From the Mouth of God: Trusting, Reading, and Applying the Bible</t>
  </si>
  <si>
    <t>TheWhole Christ: Legalism, Antinomianism, and Gospel Assurance--Why the Marrow Controversy Still Matters</t>
  </si>
  <si>
    <t>Ferrie, Miller</t>
  </si>
  <si>
    <t>Jewels from John Newton: Daily Readings from the Works of John Newton</t>
  </si>
  <si>
    <t>Wesley and Men Who Followed</t>
  </si>
  <si>
    <t>Finlayson, Linda</t>
  </si>
  <si>
    <t>Adventure and Faith</t>
  </si>
  <si>
    <t>Risktakers</t>
  </si>
  <si>
    <t>At the Mercy of Kings: Mary of Orange</t>
  </si>
  <si>
    <t>Guarding the Treasure</t>
  </si>
  <si>
    <t>Fitzpatrick, Elyse</t>
  </si>
  <si>
    <t>The Afternoon of Life: Finding Purpose and Joy in Midlife</t>
  </si>
  <si>
    <t>Aging</t>
  </si>
  <si>
    <t>Because He Loves Me</t>
  </si>
  <si>
    <t>Comforts from Romans</t>
  </si>
  <si>
    <t>Counsel from the Cross: Connecting Broken People to the Love of Christ</t>
  </si>
  <si>
    <t>Doubt: Trusting God's Promises</t>
  </si>
  <si>
    <t>Found in Him</t>
  </si>
  <si>
    <t>Give Them Grace: Dazzling Your Kids with the Love of Jesus</t>
  </si>
  <si>
    <t>Good News for Weary Women</t>
  </si>
  <si>
    <t>Idols of the Heart</t>
  </si>
  <si>
    <t>Overcoming Fear, Worry and Anxiety</t>
  </si>
  <si>
    <t>Fear</t>
  </si>
  <si>
    <t>A Steadfast Heart: Experiencing God's Comfort in Life's Storms</t>
  </si>
  <si>
    <t>Will Medicine Stop the Pain?: Finding God's Healing for Depression, Anxiety, and other Troubling Emotions</t>
  </si>
  <si>
    <t>Hendrickson</t>
  </si>
  <si>
    <t>Fitzpatrick, Elyse; Hendrickson, Laura</t>
  </si>
  <si>
    <t>Comfort from the Cross</t>
  </si>
  <si>
    <t>Flavel, John</t>
  </si>
  <si>
    <t>TheMystery of Providence</t>
  </si>
  <si>
    <t>Fortson, S. Donald III</t>
  </si>
  <si>
    <t>Charles Hodge</t>
  </si>
  <si>
    <t>Freeman, John</t>
  </si>
  <si>
    <t>Hide Or Seek: When Men Get Real with God About Sex</t>
  </si>
  <si>
    <t>Christian Men, Sexuality</t>
  </si>
  <si>
    <t>Furman, Dave</t>
  </si>
  <si>
    <t>Being There: How to Love Those Who Are Hurting</t>
  </si>
  <si>
    <t>Gaffin, Jean</t>
  </si>
  <si>
    <t>Who He Says I Am: A Study of Our Identity in Christ</t>
  </si>
  <si>
    <t>Galea, Ray</t>
  </si>
  <si>
    <t>From Here to Eternity: Assurance in the Face of Sin and Suffering</t>
  </si>
  <si>
    <t>Sin, Assurance</t>
  </si>
  <si>
    <t>Ganz, Nancy E.</t>
  </si>
  <si>
    <t>Genesis: A Commentary for Children</t>
  </si>
  <si>
    <t>Teaching Children</t>
  </si>
  <si>
    <t>Garland, David E.</t>
  </si>
  <si>
    <t>1 Corinthians Baker Exegetical Commentary on the NT</t>
  </si>
  <si>
    <t>Garner, David</t>
  </si>
  <si>
    <t>Did God Really Say</t>
  </si>
  <si>
    <t>Garner, David B.</t>
  </si>
  <si>
    <t>Sons in the Son</t>
  </si>
  <si>
    <t>Geisler, Norman L.</t>
  </si>
  <si>
    <t>From God to Us: How We Got Our Bible</t>
  </si>
  <si>
    <t>Nix</t>
  </si>
  <si>
    <t>Gembola, Michael Scott</t>
  </si>
  <si>
    <t>After an Affair: Pursuing Restoration</t>
  </si>
  <si>
    <t>George, Timothy</t>
  </si>
  <si>
    <t>Theology of the Reformers</t>
  </si>
  <si>
    <t>Getz, Gene A.</t>
  </si>
  <si>
    <t>Elders and Leaders</t>
  </si>
  <si>
    <t>Gibson, David</t>
  </si>
  <si>
    <t>Living Life Backward</t>
  </si>
  <si>
    <t>Gibson, Jonathan</t>
  </si>
  <si>
    <t>The Moon Is Always Round</t>
  </si>
  <si>
    <t>Gilbert, Greg</t>
  </si>
  <si>
    <t>Assured: Discover Grace, Let Go of Guilt, and Rest in Your Salvation</t>
  </si>
  <si>
    <t>Assurance</t>
  </si>
  <si>
    <t>What is the Gospel?</t>
  </si>
  <si>
    <t>Why Trust the Bible</t>
  </si>
  <si>
    <t xml:space="preserve">Gilley, Gary E. </t>
  </si>
  <si>
    <t>This Little Church Stayed Home: A Faithful Church in Deceptive Times</t>
  </si>
  <si>
    <t>This Little Church Went to Market: The Church in the Age of Entertainment</t>
  </si>
  <si>
    <t>Entertainment</t>
  </si>
  <si>
    <t>Glenn, R.W.</t>
  </si>
  <si>
    <t>Crucifying Morality: The Gospel of the Beatitudes</t>
  </si>
  <si>
    <t>Godlsworthy, Graeme</t>
  </si>
  <si>
    <t>The Son of God and the New Creation</t>
  </si>
  <si>
    <t>Goldsworthy, Graeme</t>
  </si>
  <si>
    <t>According to Plan: The Unfolding Revelation of God in the Bible</t>
  </si>
  <si>
    <t>Bible?</t>
  </si>
  <si>
    <t>Gordon, T. David</t>
  </si>
  <si>
    <t>Why Johnny Can't Preach: The Media Have Shaped the Messengers</t>
  </si>
  <si>
    <t>Why Johnny Can't Sing Hymns: The Media Have Shaped the Messengers</t>
  </si>
  <si>
    <t>Worship, Music</t>
  </si>
  <si>
    <t>Green, Joel B</t>
  </si>
  <si>
    <t>The Gospel of Luke</t>
  </si>
  <si>
    <t>Greidanus, Sidney</t>
  </si>
  <si>
    <t>From Chaos to Cosmos: Creation to New Creation</t>
  </si>
  <si>
    <t>Groves, J. Alasdair</t>
  </si>
  <si>
    <t>Untangling Emotions: "God's Gift of Emotions"</t>
  </si>
  <si>
    <t>Smith, Winston T.</t>
  </si>
  <si>
    <t>Emotions</t>
  </si>
  <si>
    <t>Grudem, Collins, Schreiner</t>
  </si>
  <si>
    <t>Understanding Scripture</t>
  </si>
  <si>
    <t>Grudem, Wayne</t>
  </si>
  <si>
    <t>Evangelical Feminism and Biblical Truth</t>
  </si>
  <si>
    <t>Christian Women, Feminism</t>
  </si>
  <si>
    <t>Politics According to the Bible</t>
  </si>
  <si>
    <t>Systematic Theology</t>
  </si>
  <si>
    <t>Grudem, Wayne (editors)</t>
  </si>
  <si>
    <t>Understanding the Big Picture of the Bible</t>
  </si>
  <si>
    <t xml:space="preserve"> Collins  Shreiner</t>
  </si>
  <si>
    <t>Grudem, Wayne; Piper, John</t>
  </si>
  <si>
    <t>Recovering Biblical Manhood and Womanhood: A Response to Evangelical Feminism</t>
  </si>
  <si>
    <t>Piper</t>
  </si>
  <si>
    <t>Gender Roles, Feminism</t>
  </si>
  <si>
    <t>Guinness, Os</t>
  </si>
  <si>
    <t>Fool's Talk: Recovering the Art of Christian Persuasion</t>
  </si>
  <si>
    <t>Evangelism, Apologetics</t>
  </si>
  <si>
    <t>Guthrie, Nancy</t>
  </si>
  <si>
    <t>Be Still, My Soul: Embracing God's Purpose and Provision in Suffering</t>
  </si>
  <si>
    <t>Even Better Than Eden</t>
  </si>
  <si>
    <t>I'm Praying for You: 40 Days of Praying the Bible for Someone Who Is Suffering</t>
  </si>
  <si>
    <t>Suffering, Prayer</t>
  </si>
  <si>
    <t>O Love That Will Not Let Me Go</t>
  </si>
  <si>
    <t>What Every Child Should Know About Prayer</t>
  </si>
  <si>
    <t>What Grieving People Wish You Knew</t>
  </si>
  <si>
    <t>Suffering, Grief</t>
  </si>
  <si>
    <t>Guthrie, William</t>
  </si>
  <si>
    <t>The Christian's Great Interest</t>
  </si>
  <si>
    <t>Ham, Ken</t>
  </si>
  <si>
    <t>The Lie: Evolution/Millions of Years</t>
  </si>
  <si>
    <t>Science</t>
  </si>
  <si>
    <t>Hambrick, Sharon</t>
  </si>
  <si>
    <t>Arby Jenkins</t>
  </si>
  <si>
    <t>Hamilton, James M. Jr</t>
  </si>
  <si>
    <t>The Bible's Big Story</t>
  </si>
  <si>
    <t>God's Glory in Salvation Through Judgment</t>
  </si>
  <si>
    <t>What is Biblical Theology?</t>
  </si>
  <si>
    <t>Work and Our Labor in the Lord</t>
  </si>
  <si>
    <t>Hammond, Rebecca</t>
  </si>
  <si>
    <t>John Wycliffe: Man of Courage</t>
  </si>
  <si>
    <t>Mary Slessor: Faith in West Africa</t>
  </si>
  <si>
    <t>Robert Morrison: Translator in China</t>
  </si>
  <si>
    <t>Harman, Allan M.</t>
  </si>
  <si>
    <t>Joseph Addison Alexander</t>
  </si>
  <si>
    <t>Harmon, Matthew</t>
  </si>
  <si>
    <t>Asking the Right Questions: A Practical Guide to Understanding and Applying the Bible</t>
  </si>
  <si>
    <t>Harris, Joshua</t>
  </si>
  <si>
    <t>Sex is Not the Problem (Lust Is)</t>
  </si>
  <si>
    <t>Sexuality</t>
  </si>
  <si>
    <t>Harvey, Dave</t>
  </si>
  <si>
    <t>I Still Do: Growing Closer and Stronger through Life's Defining Moments</t>
  </si>
  <si>
    <t>Marriage</t>
  </si>
  <si>
    <t>When Sinners Say "I Do"</t>
  </si>
  <si>
    <t>Hayden, Eric</t>
  </si>
  <si>
    <t>The Unforgetable Spurgeon</t>
  </si>
  <si>
    <t>Hayner, Linda</t>
  </si>
  <si>
    <t>Ellanor's Exchange</t>
  </si>
  <si>
    <t>Heath-Whyte, Clare</t>
  </si>
  <si>
    <t>Everyone a Child Should Know</t>
  </si>
  <si>
    <t>Helm, David R.</t>
  </si>
  <si>
    <t>Big Beliefs: Small Devotionals Introducing Your Family to Big Truths</t>
  </si>
  <si>
    <t>Helms, Selah; Kahler, Susan</t>
  </si>
  <si>
    <t>The Bottomless Dinner Basket</t>
  </si>
  <si>
    <t>Big Bible Answers</t>
  </si>
  <si>
    <t>The Greatest Day Ever</t>
  </si>
  <si>
    <t>The Starry Messenger</t>
  </si>
  <si>
    <t xml:space="preserve">Hendricks, Howard G </t>
  </si>
  <si>
    <t>Living by the Book</t>
  </si>
  <si>
    <t>Henley, Marissa</t>
  </si>
  <si>
    <t>Loving Your Friend through Cancer</t>
  </si>
  <si>
    <t>Henry, Matthew</t>
  </si>
  <si>
    <t>Matthew Henry's Commentary on the Whole Bible</t>
  </si>
  <si>
    <t>Commentary</t>
  </si>
  <si>
    <t>Hess, Donnalynn Hess</t>
  </si>
  <si>
    <t>A Father's Promise</t>
  </si>
  <si>
    <t>In Search of Honor</t>
  </si>
  <si>
    <t>Hibbs, Pierce Taylor</t>
  </si>
  <si>
    <t>Finding Hope in Hard Things: A Positive Take on Suffering</t>
  </si>
  <si>
    <t>Hill, Megan</t>
  </si>
  <si>
    <t>Contentment: Seeing God's Goodness</t>
  </si>
  <si>
    <t>Hoppe, Steve</t>
  </si>
  <si>
    <t>Sipping Saltwater</t>
  </si>
  <si>
    <t>Horne, Rick</t>
  </si>
  <si>
    <t>Get Outta My Face!: How to Reach Angry, Unmotivated Teens with Biblical Counsel</t>
  </si>
  <si>
    <t>Parenting, Teaching Youth</t>
  </si>
  <si>
    <t>Horning, Krista</t>
  </si>
  <si>
    <t>Just the Way I Am, God's Good Design in Disability</t>
  </si>
  <si>
    <t>Horton, Michael</t>
  </si>
  <si>
    <t>The Gospel-Driven Life</t>
  </si>
  <si>
    <t>Putting Amazing Back into Grace</t>
  </si>
  <si>
    <t>Howard, Betsy Childs</t>
  </si>
  <si>
    <t>Arlo and the Great Big Cover-Up</t>
  </si>
  <si>
    <t>Howat, Irene</t>
  </si>
  <si>
    <t>Adoniram Judson: Danger on Streets of Gold</t>
  </si>
  <si>
    <t>Hubach, Stephanie O.</t>
  </si>
  <si>
    <t>Same Lake, Different Boat: Coming Alongside People Touched by Disability</t>
  </si>
  <si>
    <t>Disabilities</t>
  </si>
  <si>
    <t>Huges, R. Kent &amp; W. Carey</t>
  </si>
  <si>
    <t>Disciplines of a Godly Young Man</t>
  </si>
  <si>
    <t>James, Sharon</t>
  </si>
  <si>
    <t>Elizabeth Prentiss: 'More Love to Thee'</t>
  </si>
  <si>
    <t>In Trouble and In Joy</t>
  </si>
  <si>
    <t>My Heart in His Hands: Ann Judson of Burma</t>
  </si>
  <si>
    <t>Jamieson, Bobby</t>
  </si>
  <si>
    <t>Going Public: Why Baptism is Required for Membership</t>
  </si>
  <si>
    <t>Baptism, Church Membership</t>
  </si>
  <si>
    <t>Sound Doctrine</t>
  </si>
  <si>
    <t>Understanding Baptism</t>
  </si>
  <si>
    <t>Baptism</t>
  </si>
  <si>
    <t>Understanding the Lord's Supper</t>
  </si>
  <si>
    <t>Communion</t>
  </si>
  <si>
    <t>Jeffrey, Peter</t>
  </si>
  <si>
    <t>Evangelicals Then and Now</t>
  </si>
  <si>
    <t>Jensen, Phillip D</t>
  </si>
  <si>
    <t>Guidance and the Voice of God</t>
  </si>
  <si>
    <t>Payne</t>
  </si>
  <si>
    <t>Johnson, Dennis E</t>
  </si>
  <si>
    <t>Walking with Jesus Through His Word</t>
  </si>
  <si>
    <t>Johnston, Andy</t>
  </si>
  <si>
    <t>Convinced by Scripture</t>
  </si>
  <si>
    <t>Jones, Mark</t>
  </si>
  <si>
    <t xml:space="preserve">Antinomianism </t>
  </si>
  <si>
    <t>God Is: A Devotional Guide to the Attributes of God</t>
  </si>
  <si>
    <t>Knowing Christ</t>
  </si>
  <si>
    <t>Knowing Sin: Seeing a Neglected Doctrine Through the Eyes of the Puritans</t>
  </si>
  <si>
    <t>Jones, Rachel</t>
  </si>
  <si>
    <t>Is This It?  The Difference Jesus Makes to That Feeling</t>
  </si>
  <si>
    <t>Young Adults</t>
  </si>
  <si>
    <t>Jones, Robert D.</t>
  </si>
  <si>
    <t>Uprooting Anger</t>
  </si>
  <si>
    <t>Kapic, Kelly M</t>
  </si>
  <si>
    <t>A Little Book for New Theologians</t>
  </si>
  <si>
    <t>Keddie, John W.</t>
  </si>
  <si>
    <t>Running the Race: Eric Liddell</t>
  </si>
  <si>
    <t>Athletics</t>
  </si>
  <si>
    <t>Kelleman, Bob</t>
  </si>
  <si>
    <t>Grief: Walking with Jesus</t>
  </si>
  <si>
    <t>Kellemen, Bob</t>
  </si>
  <si>
    <t>Consider Your Counsel: Addressing Ten Mistakes in Our Biblical Counseling</t>
  </si>
  <si>
    <t>Counseling Under the Cross: How Martin Luther Applied the Gospel to Daily Life</t>
  </si>
  <si>
    <t>Kellemen, Robert W.</t>
  </si>
  <si>
    <t>Anxiety</t>
  </si>
  <si>
    <t>3 copies</t>
  </si>
  <si>
    <t>Keller, Kathy</t>
  </si>
  <si>
    <t>The New City Catechism</t>
  </si>
  <si>
    <t>Keller, Timothy</t>
  </si>
  <si>
    <t>Counterfeit Gods: The Empty Promises of Money, Sex, and Power, and the Only Hope that Matters</t>
  </si>
  <si>
    <t>Idolatry, Sexuality, Finances</t>
  </si>
  <si>
    <t>Generous Justice</t>
  </si>
  <si>
    <t>The Meaning of Marriage</t>
  </si>
  <si>
    <t>Ministries of Mercy: The Call of the Jericho Road</t>
  </si>
  <si>
    <t>The Prodigal God</t>
  </si>
  <si>
    <t>The Reason for God: Belief in an Age of Skepticism</t>
  </si>
  <si>
    <t>Kennedy, Jared</t>
  </si>
  <si>
    <t>The Beginner's Gospel Story Bible</t>
  </si>
  <si>
    <t>Kidner, Derek</t>
  </si>
  <si>
    <t>The Message of Jeremiah</t>
  </si>
  <si>
    <t>Klumpenhower, Jack</t>
  </si>
  <si>
    <t>Show Them Jesus: Teaching the Gospel to Kids</t>
  </si>
  <si>
    <t>Parenting, Teaching Children</t>
  </si>
  <si>
    <t>Kosenberger, Andreas</t>
  </si>
  <si>
    <t>The Final Days of Jesus</t>
  </si>
  <si>
    <t>Taylor</t>
  </si>
  <si>
    <t>Kostenberger, Andreas</t>
  </si>
  <si>
    <t>John</t>
  </si>
  <si>
    <t>Marriage and the Family</t>
  </si>
  <si>
    <t>Whatever Happened to Truth</t>
  </si>
  <si>
    <t>Postmodernism, Apologetics</t>
  </si>
  <si>
    <t>Kruger, Melissa</t>
  </si>
  <si>
    <t>Wherever You Go, I Want You to Know…</t>
  </si>
  <si>
    <t>Kruis, John G</t>
  </si>
  <si>
    <t>Quick Scripture Reference for Counseling</t>
  </si>
  <si>
    <t>Ladd, George Eldon</t>
  </si>
  <si>
    <t>The Gospel of the Kingdom</t>
  </si>
  <si>
    <t>Laferton, Carl</t>
  </si>
  <si>
    <t>Christmas Uncut</t>
  </si>
  <si>
    <t>Christmas</t>
  </si>
  <si>
    <t>The Garden, the Curtain and the Cross</t>
  </si>
  <si>
    <t>Lamb, David T.</t>
  </si>
  <si>
    <t>God Behaving Badly</t>
  </si>
  <si>
    <t>Lane, Timothy; Tripp, Paul David</t>
  </si>
  <si>
    <t>How People Change</t>
  </si>
  <si>
    <t>Tripp</t>
  </si>
  <si>
    <t>Relationships: A Mess Worth Making</t>
  </si>
  <si>
    <t>Relationships, Fellowship</t>
  </si>
  <si>
    <t>Lawrence, Michael</t>
  </si>
  <si>
    <t>Conversion</t>
  </si>
  <si>
    <t>Lawton, Wendy</t>
  </si>
  <si>
    <t>Almost Home: A Story Based on the Life of the Mayflower's Mary Chilton</t>
  </si>
  <si>
    <t>Daughters of the Faith</t>
  </si>
  <si>
    <t>Shadow of His Hand: A Story Based on the Life of Holocaust Survivor Anita Dittman</t>
  </si>
  <si>
    <t>The Tinker's Daughter: A Story Based on the Life of Mary Bunyan</t>
  </si>
  <si>
    <t>Leahy, Frederick S</t>
  </si>
  <si>
    <t>The Hand of God</t>
  </si>
  <si>
    <t>Leeman, Jonathan</t>
  </si>
  <si>
    <t>The Church and the Surprising Offense of God's Love</t>
  </si>
  <si>
    <t>Church Discipline</t>
  </si>
  <si>
    <t>The Rule of Love: How the Local Church Should Reflect God's Love and Authority</t>
  </si>
  <si>
    <t>Word Centered Church</t>
  </si>
  <si>
    <t>Legg, John D.</t>
  </si>
  <si>
    <t>The Church That Christ Built</t>
  </si>
  <si>
    <t>Lennox, John C.</t>
  </si>
  <si>
    <t>Can Science Explain Everything?</t>
  </si>
  <si>
    <t>Lewis, C.S.</t>
  </si>
  <si>
    <t>The Complete C.S. Lewis Signature Classics</t>
  </si>
  <si>
    <t>Lightner, Robert</t>
  </si>
  <si>
    <t>Last Days Handbook</t>
  </si>
  <si>
    <t>Lillback, Peter A.</t>
  </si>
  <si>
    <t>George Washington's Sacred Fire</t>
  </si>
  <si>
    <t>Lloyd-Jones, D. Martyn</t>
  </si>
  <si>
    <t>The Cross</t>
  </si>
  <si>
    <t>Spiritual Depression:  Its Causes and Its Cure</t>
  </si>
  <si>
    <t>Studies in the Sermon on the Mount</t>
  </si>
  <si>
    <t>Lloyd-Jones, Sally</t>
  </si>
  <si>
    <t>The Jesus Storybook Bible</t>
  </si>
  <si>
    <t>Lohr, Nancy</t>
  </si>
  <si>
    <t>Songbird</t>
  </si>
  <si>
    <t>Lowe, Julie</t>
  </si>
  <si>
    <t>Building Bridges: Biblical Counseling Activities for Children &amp; Teens</t>
  </si>
  <si>
    <t>Counseling, Relationships</t>
  </si>
  <si>
    <t>Ludwig, Charles</t>
  </si>
  <si>
    <t>Susanna Wesley</t>
  </si>
  <si>
    <t>Lundgaard, Kris</t>
  </si>
  <si>
    <t>The Enemy Within: Straight Talk about the Power and Defeat of Sin</t>
  </si>
  <si>
    <t>Lupton, Robert D</t>
  </si>
  <si>
    <t>Toxic Charity</t>
  </si>
  <si>
    <t>Lutzer, Erwin W</t>
  </si>
  <si>
    <t>10 Lies About God</t>
  </si>
  <si>
    <t>Making the Best of a Bad Decision</t>
  </si>
  <si>
    <t>When You've Been Wronged</t>
  </si>
  <si>
    <t>Forgiveness</t>
  </si>
  <si>
    <t>MacArthur, John</t>
  </si>
  <si>
    <t>Alone With God</t>
  </si>
  <si>
    <t>Anatomy of the Church</t>
  </si>
  <si>
    <t>Audio</t>
  </si>
  <si>
    <t>Because the Time is Near: John MacArthur Explains the Book of Revelation</t>
  </si>
  <si>
    <t xml:space="preserve">Different by Design: Discovering God's Will for Today's Man and Woman </t>
  </si>
  <si>
    <t>Faith Works: The Gospel According to the Apostles</t>
  </si>
  <si>
    <t>The Freedom and Power of Forgiveness</t>
  </si>
  <si>
    <t>The Fulfilled Family</t>
  </si>
  <si>
    <t>Family</t>
  </si>
  <si>
    <t>The Gospel According to Jesus</t>
  </si>
  <si>
    <t>How to Meet the Enemy</t>
  </si>
  <si>
    <t>The Jesus You Can't Ignore</t>
  </si>
  <si>
    <t>The Master's Plan for the Church</t>
  </si>
  <si>
    <t>The Murder of Jesus</t>
  </si>
  <si>
    <t>Our Sufficiency in Christ</t>
  </si>
  <si>
    <t>Pillars of Christian Character (replaced 5/14)</t>
  </si>
  <si>
    <t>The Quest for Character</t>
  </si>
  <si>
    <t>Rediscovering Pastoral Ministry</t>
  </si>
  <si>
    <t>The Scripture Cannot Be Broken: Twentieth Century Writings on the Doctrine of Inerrancy</t>
  </si>
  <si>
    <t>The Second Coming</t>
  </si>
  <si>
    <t>Slave</t>
  </si>
  <si>
    <t>Truth Matters</t>
  </si>
  <si>
    <t>Truth War</t>
  </si>
  <si>
    <t>Twelve Ordinary Men</t>
  </si>
  <si>
    <t>Whose Money Is It Anyway?</t>
  </si>
  <si>
    <t>MacArthur, John; Mahue, Richard</t>
  </si>
  <si>
    <t>Biblical Doctrine</t>
  </si>
  <si>
    <t>Machen, J. Gresham</t>
  </si>
  <si>
    <t>The Person of Jesus</t>
  </si>
  <si>
    <t>Machowski, Marty</t>
  </si>
  <si>
    <t>Don't Blame the Mud: Only Jesus Can Make You Clean</t>
  </si>
  <si>
    <t>Dragon Seed</t>
  </si>
  <si>
    <t>Parenting First Aid: Hope for the Discouraged</t>
  </si>
  <si>
    <t>Mack, Wayne</t>
  </si>
  <si>
    <t xml:space="preserve">To Be or Not to Be a Church Member?  </t>
  </si>
  <si>
    <t>Mackenzie, Carine</t>
  </si>
  <si>
    <t>Creation Sings</t>
  </si>
  <si>
    <t>Mackenzie, Catherine</t>
  </si>
  <si>
    <t>Little Lights # 9 Eric Liddell: Are You Ready?</t>
  </si>
  <si>
    <t>Little Lights #1  Amy Carmichael: Can Brown Eyes Be Made Blue?</t>
  </si>
  <si>
    <t>Little Lights #10 Mary Slessor: What is it Like?</t>
  </si>
  <si>
    <t>Little Lights #11 C.S. Lewis: Can You Imagine?</t>
  </si>
  <si>
    <t>Little Lights #12 Gladys Aylward: Are You Going to Stop?</t>
  </si>
  <si>
    <t>Little Lights #13: Lottie Moon, What Do You Need?</t>
  </si>
  <si>
    <t>Little Lights #14 John Knox: Who Will Save You?</t>
  </si>
  <si>
    <t>Little Lights #2 Hudson Taylor: Could Somebody Pass . . .</t>
  </si>
  <si>
    <t>Little Lights #3 Corrie ten Boom: Are All of the Watches Safe?</t>
  </si>
  <si>
    <t>Little Lights #4 George Muller: Does Money Grow on Trees?</t>
  </si>
  <si>
    <t>Little Lights #5 Helen Roseveare: What's in the Parcel?</t>
  </si>
  <si>
    <t>Little Lights #6 David Livingstone: Who Is the Bravest?</t>
  </si>
  <si>
    <t>Little Lights #7 John Calvin: What is the Truth?</t>
  </si>
  <si>
    <t>children</t>
  </si>
  <si>
    <t>Little Lights #8 Martin Luther: What Should I Do?</t>
  </si>
  <si>
    <t>2 copies</t>
  </si>
  <si>
    <t>Mahaney, C.J.</t>
  </si>
  <si>
    <t>Living the Cross-Centered Life</t>
  </si>
  <si>
    <t>Worldiness: Resisting the Seduction of a Fallen World</t>
  </si>
  <si>
    <t>Varied</t>
  </si>
  <si>
    <t>Mahaney, Carolyn</t>
  </si>
  <si>
    <t>Feminine Appeal: Seven Virtues of Godly Wife/Mother</t>
  </si>
  <si>
    <t>Girl Talk: Mother-Daughter Conversations on Biblical Womanhood</t>
  </si>
  <si>
    <t>True Beauty</t>
  </si>
  <si>
    <t>Whitacre</t>
  </si>
  <si>
    <t>True Feelings: God's Gracious and Glorious Purpose for Our Emotions</t>
  </si>
  <si>
    <t>Nicole Whitacre</t>
  </si>
  <si>
    <t>Mandryk, Jason; Wall, Molly</t>
  </si>
  <si>
    <t>Window on the World: An Operation World Prayer Resource</t>
  </si>
  <si>
    <t>Missions, Prayer, Teaching Children</t>
  </si>
  <si>
    <t>Mann, Alan</t>
  </si>
  <si>
    <t>Mark's Marvellous Book</t>
  </si>
  <si>
    <t>Marsden, George M</t>
  </si>
  <si>
    <t>Reforming Fundamentalism</t>
  </si>
  <si>
    <t>Marshall, Colin</t>
  </si>
  <si>
    <t>The Trellis and the Vine</t>
  </si>
  <si>
    <t>Martin, Walter</t>
  </si>
  <si>
    <t>Kingdom of the Cults: The Definitive Work on the Subject</t>
  </si>
  <si>
    <t>Mathews, Arthur and Wilda</t>
  </si>
  <si>
    <t>Green Leaf in Drought: Isobel Kuhn</t>
  </si>
  <si>
    <t>Mathis, David</t>
  </si>
  <si>
    <t>Habits of Grace</t>
  </si>
  <si>
    <t>Mayhue, Richard</t>
  </si>
  <si>
    <t>The Healing Promise</t>
  </si>
  <si>
    <t>McCartney, Dan</t>
  </si>
  <si>
    <t>Let the Reader Understand: A Guide to Interpreting and Applying the Bible</t>
  </si>
  <si>
    <t>McCulley, Carolyn</t>
  </si>
  <si>
    <t>Did I Kiss Marriage Goodbye?</t>
  </si>
  <si>
    <t>Singleness, Dating</t>
  </si>
  <si>
    <t>McDowell, Josh</t>
  </si>
  <si>
    <t>The New Evidence That Demands a Verdict</t>
  </si>
  <si>
    <t>McIntyre, Patrick</t>
  </si>
  <si>
    <t>The Graham Formula</t>
  </si>
  <si>
    <t>Meade, Starr</t>
  </si>
  <si>
    <t>Grandpa's Box</t>
  </si>
  <si>
    <t>Training Hearts Teaching Minds</t>
  </si>
  <si>
    <t>Metaxas, Eric</t>
  </si>
  <si>
    <t>Squanto and the Miracle of Thanksgiving</t>
  </si>
  <si>
    <t>Metzger, Will</t>
  </si>
  <si>
    <t>Tell the Truth: The Whole Gospel Wholly by Grace Communicated Truthfully Lovingly</t>
  </si>
  <si>
    <t>Meyers, Kenneth A</t>
  </si>
  <si>
    <t>All God's Children and Blue Suede Shoes: Christians and Popular Culture</t>
  </si>
  <si>
    <t>Pop Culture</t>
  </si>
  <si>
    <t>Michael, Sally</t>
  </si>
  <si>
    <t>God's Design</t>
  </si>
  <si>
    <t>God's Names</t>
  </si>
  <si>
    <t>God's Promises</t>
  </si>
  <si>
    <t>God's Wisdom</t>
  </si>
  <si>
    <t>More Than a Story: Exploring the Message of the Bible with Children</t>
  </si>
  <si>
    <t>Millar, Gary</t>
  </si>
  <si>
    <t>Need to Know: Your Guide to the Christian Life</t>
  </si>
  <si>
    <t>Miller, Basil</t>
  </si>
  <si>
    <t>George Muller: Man of Faith and Miracles</t>
  </si>
  <si>
    <t>John Wesley</t>
  </si>
  <si>
    <t>Miller, C. John</t>
  </si>
  <si>
    <t>Saving Grace: Daily Devotions from Jack Miller</t>
  </si>
  <si>
    <t>The Heart of a Servant Leader</t>
  </si>
  <si>
    <t>Miller, C. John &amp; Barbara</t>
  </si>
  <si>
    <t>Come Back, Barbara</t>
  </si>
  <si>
    <t>Miller, Paul E</t>
  </si>
  <si>
    <t>A Praying Life</t>
  </si>
  <si>
    <t>Miller, Rachel Green</t>
  </si>
  <si>
    <t>Beyond Authority and Submission: Women and Men in Marriage, Church, and Society</t>
  </si>
  <si>
    <t>Marriage, Gener Roles, Society</t>
  </si>
  <si>
    <t>Miller, Rose Marie</t>
  </si>
  <si>
    <t>The Gospel-Centered Parent Study Guide</t>
  </si>
  <si>
    <t>Harrell, Klumpenhower</t>
  </si>
  <si>
    <t>Nothing Is Impossible With God</t>
  </si>
  <si>
    <t>Miller, Wendell E</t>
  </si>
  <si>
    <t>Forgiveness: The Power and the Puzzles</t>
  </si>
  <si>
    <t>Mitchell, Alison</t>
  </si>
  <si>
    <t>The One O'Clock Miracle</t>
  </si>
  <si>
    <t>The Storm That Stopped: A True Story About Who Jesus Really Is</t>
  </si>
  <si>
    <t>Mitchell, Matthe C</t>
  </si>
  <si>
    <t>Resisting Gossip</t>
  </si>
  <si>
    <t>Relationships</t>
  </si>
  <si>
    <t>Mohler, Albert</t>
  </si>
  <si>
    <t>The Conviction to Lead</t>
  </si>
  <si>
    <t>Mohler, R. Albert Jr.</t>
  </si>
  <si>
    <t>Culture Shift: Engaging Current Issues with Timeless Truth</t>
  </si>
  <si>
    <t>Digital Age, Postmodernism, Politics, Abortion</t>
  </si>
  <si>
    <t xml:space="preserve">We Cannot Be Silent: Speaking Truth to a Culture Redefining Sex, Marriage, and the Very Meaning of Right and Wrong </t>
  </si>
  <si>
    <t>Sexuality, Homosexuality, Marriage</t>
  </si>
  <si>
    <t>Moore, Russell D.</t>
  </si>
  <si>
    <t>Tempted and Tried</t>
  </si>
  <si>
    <t>Morgan, Adam</t>
  </si>
  <si>
    <t>Operation Arctic Viking Invasion</t>
  </si>
  <si>
    <t>A Patch the Pirate Book</t>
  </si>
  <si>
    <t xml:space="preserve">Morgan, Christopher W--ed. </t>
  </si>
  <si>
    <t>Hell Under Fire</t>
  </si>
  <si>
    <t>Peterson</t>
  </si>
  <si>
    <t>Morris, Leon</t>
  </si>
  <si>
    <t>The Gospel According to Matthew</t>
  </si>
  <si>
    <t>Luke</t>
  </si>
  <si>
    <t>Morrison, Steve</t>
  </si>
  <si>
    <t>Born This Way</t>
  </si>
  <si>
    <t>Murray, Iain H</t>
  </si>
  <si>
    <t>Evangelicalism Divided</t>
  </si>
  <si>
    <t>J.C. Ryle: Prepared to Stand Alone</t>
  </si>
  <si>
    <t>John MacArthur: Servant of the Word and Flock</t>
  </si>
  <si>
    <t>Jonathan Edwards: A New Biography</t>
  </si>
  <si>
    <t>The Life of John Murray</t>
  </si>
  <si>
    <t>Lloyd-Jones: Messenger of Grace</t>
  </si>
  <si>
    <t xml:space="preserve">Pentecost--Today?: The Biblical Basis for Understanding Revival </t>
  </si>
  <si>
    <t xml:space="preserve">Revival &amp; Revivalism  </t>
  </si>
  <si>
    <t>Murray, Iain H.</t>
  </si>
  <si>
    <t>Amy Carmichael: Beauty for Ashes</t>
  </si>
  <si>
    <t>Heroes: An Anthology of Evangelical Heroes</t>
  </si>
  <si>
    <t>Seven Leaders: Preachers and Pastors</t>
  </si>
  <si>
    <t>Murray, John J.</t>
  </si>
  <si>
    <t>John Knox</t>
  </si>
  <si>
    <t>Murray, Shona and David</t>
  </si>
  <si>
    <t>Refresh</t>
  </si>
  <si>
    <t>Naselli, Andrew David</t>
  </si>
  <si>
    <t>Conscience: What It Is, How to Train It, and Loving Those Who Differ</t>
  </si>
  <si>
    <t>Crowley</t>
  </si>
  <si>
    <t>How to Understand and Apply the New Testament</t>
  </si>
  <si>
    <t>Newbell, Trillia</t>
  </si>
  <si>
    <t>God's Very Good Idea</t>
  </si>
  <si>
    <t>Newheiser, Jim</t>
  </si>
  <si>
    <t>Marriage Divorce and Remarriage</t>
  </si>
  <si>
    <t>You Never Stop Being a Parent</t>
  </si>
  <si>
    <t>Fitzpatrick</t>
  </si>
  <si>
    <t>Newman, Randy</t>
  </si>
  <si>
    <t>Questioning Evangelism: Engaging People's Hearts the Way Jesus Did</t>
  </si>
  <si>
    <t>Nicholls, Andrew; Thorne, Helen</t>
  </si>
  <si>
    <t>Real Change: Becoming More Like Jesus in Everyday Life</t>
  </si>
  <si>
    <t>David Powlison, editor</t>
  </si>
  <si>
    <t>Nichols, Stephen j</t>
  </si>
  <si>
    <t>A Time for Confidence</t>
  </si>
  <si>
    <t>Culture</t>
  </si>
  <si>
    <t>Ancient Word, Changling Worlds: The Doctrine of Scripture in a Modern Age</t>
  </si>
  <si>
    <t>Brandy</t>
  </si>
  <si>
    <t>Nielson, Jon</t>
  </si>
  <si>
    <t>Bible Study: A Student's Guide</t>
  </si>
  <si>
    <t>Faith That Lasts: Raising Kids That Don't Leave the Church</t>
  </si>
  <si>
    <t>Nielson, Kathleen</t>
  </si>
  <si>
    <t>Women and God: Hard Questions. Beautiful Truth.</t>
  </si>
  <si>
    <t>Nodder, Marcus</t>
  </si>
  <si>
    <t>What Happens When I Die?  And other questions about heaven, hell and the life to come</t>
  </si>
  <si>
    <t>Questions Christians Ask</t>
  </si>
  <si>
    <t>Death</t>
  </si>
  <si>
    <t>O'Dell, Scott</t>
  </si>
  <si>
    <t>The Hawk that Dare Not Hunt by Day</t>
  </si>
  <si>
    <t>Olasky, Susan</t>
  </si>
  <si>
    <t>Annie Henry and the Birth of Liberty</t>
  </si>
  <si>
    <t>Adventures in the American Revolution</t>
  </si>
  <si>
    <t>Annie Henry and the Mysterious Stranger</t>
  </si>
  <si>
    <t>Annie Henry and the Redcoats</t>
  </si>
  <si>
    <t>Annie Henry and the Secret Mission</t>
  </si>
  <si>
    <t>Oliphint, K. Scott</t>
  </si>
  <si>
    <t>The Battle Belongs to the Lord: The Power of Scripture for Defending Our Faith</t>
  </si>
  <si>
    <t>Unshakable: Standing Firm in a Shifting Culture</t>
  </si>
  <si>
    <t>Rod Mays</t>
  </si>
  <si>
    <t>Culture, Postmodernism</t>
  </si>
  <si>
    <t>Olsen, Viggo</t>
  </si>
  <si>
    <t>Daktar, Diplomat in Bangladesh</t>
  </si>
  <si>
    <t xml:space="preserve">OMF International </t>
  </si>
  <si>
    <t>In the Arena: Isobel Kuhn</t>
  </si>
  <si>
    <t>Ortland, Ray</t>
  </si>
  <si>
    <t>The Gospel: How the Church Portrays the Beauty of Christ</t>
  </si>
  <si>
    <t>Marriage and the Mystery of the Gospel</t>
  </si>
  <si>
    <t>Ortlund, Dane</t>
  </si>
  <si>
    <t>Gentle and Lowly: The Heart of Christ for Sinners and Sufferers</t>
  </si>
  <si>
    <t>Sin, Suffering</t>
  </si>
  <si>
    <t>Ortlund, Gavin</t>
  </si>
  <si>
    <t>Finding the Right Hills to Die On: The Case for Theological Triage</t>
  </si>
  <si>
    <t>Oshman, Jen</t>
  </si>
  <si>
    <t>Enough About Me: Find Lasting Joy in the Age of Self</t>
  </si>
  <si>
    <t>Joy</t>
  </si>
  <si>
    <t>Osman, Jim</t>
  </si>
  <si>
    <t>Truth or Territory: A Biblical Approach to Spiritual Warfare</t>
  </si>
  <si>
    <t>Owen, John</t>
  </si>
  <si>
    <t>The Mortification of Sin</t>
  </si>
  <si>
    <t>Oxley, H. Dale</t>
  </si>
  <si>
    <t>One Rock at a Time</t>
  </si>
  <si>
    <t>Packer, J. I.</t>
  </si>
  <si>
    <t>Evangelism and the Sovereignty of God</t>
  </si>
  <si>
    <t>Faithfulness and Holiness: The Witness of JC Ryle</t>
  </si>
  <si>
    <t>God Has Spoken: Revelation and the Bible</t>
  </si>
  <si>
    <t>Keep in Step with the Spirit</t>
  </si>
  <si>
    <t>Holy Spirit</t>
  </si>
  <si>
    <t>Knowing God</t>
  </si>
  <si>
    <t>Paquette, A.</t>
  </si>
  <si>
    <t>God's Outlaw: The Real Story of William Tyndale and the English Bible</t>
  </si>
  <si>
    <t>Voice of the Martyrs</t>
  </si>
  <si>
    <t>Parker, T.H.L.</t>
  </si>
  <si>
    <t>Portrait of Calvin</t>
  </si>
  <si>
    <t>Parsons, Burk editor</t>
  </si>
  <si>
    <t>Assured by God</t>
  </si>
  <si>
    <t>Paton, James</t>
  </si>
  <si>
    <t>Jonn G. Paton, an Autobiography, edited</t>
  </si>
  <si>
    <t>Payne, Tony</t>
  </si>
  <si>
    <t>Jensen</t>
  </si>
  <si>
    <t>How to Walk into Church</t>
  </si>
  <si>
    <t>Peace, Martha</t>
  </si>
  <si>
    <t>Keller</t>
  </si>
  <si>
    <t>Tying the Knot Tighter/Marriage</t>
  </si>
  <si>
    <t>Crotts</t>
  </si>
  <si>
    <t>Pearcey, Nancy R.</t>
  </si>
  <si>
    <t>Love Thy Body: Answering Hard Questions about Life and Sexuality</t>
  </si>
  <si>
    <t>Sexuality, Homosexuality, Gender Identity, Abortion</t>
  </si>
  <si>
    <t>Perman, Matt</t>
  </si>
  <si>
    <t>What's Best Next</t>
  </si>
  <si>
    <t>Perron, Sean; Harmon, Spencer</t>
  </si>
  <si>
    <t>Letters to a Romantic on Engagement</t>
  </si>
  <si>
    <t>Petersen, Alicia</t>
  </si>
  <si>
    <t>Out of Darkness</t>
  </si>
  <si>
    <t>Sparrow Alone</t>
  </si>
  <si>
    <t>Peterson, Robert A.</t>
  </si>
  <si>
    <t>Our Secure Salvation: Preservation and Apostasy</t>
  </si>
  <si>
    <t>Explorations in Biblical Theology</t>
  </si>
  <si>
    <t>Assurance, Eternal Security</t>
  </si>
  <si>
    <t>Petty, James C.</t>
  </si>
  <si>
    <t>Step by Step: Divine Guidance for Ordinary Christians</t>
  </si>
  <si>
    <t>Phillips, Richard D.</t>
  </si>
  <si>
    <t>Faith Victorious: Finding Strength and Hope from Hebrews 11</t>
  </si>
  <si>
    <t>Faith</t>
  </si>
  <si>
    <t>Masculine Mandate, The: God's Calling to Men</t>
  </si>
  <si>
    <t>Christian Men</t>
  </si>
  <si>
    <t>These Last Days: A Christian View of History</t>
  </si>
  <si>
    <t>Fluhrer</t>
  </si>
  <si>
    <t>What's So Great About the Doctrines of Grace</t>
  </si>
  <si>
    <t>Philpot, Kent</t>
  </si>
  <si>
    <t>Are You Being Duped?</t>
  </si>
  <si>
    <t>Pierre, Jeremy</t>
  </si>
  <si>
    <t>The Dynamic Heart in Daily Life: Connecting Christ to Human Experience</t>
  </si>
  <si>
    <t>Piper, John</t>
  </si>
  <si>
    <t>Contending for Our All</t>
  </si>
  <si>
    <t>Desiring God</t>
  </si>
  <si>
    <t>Don't Waste Your Life</t>
  </si>
  <si>
    <t>Finally Alive</t>
  </si>
  <si>
    <t>Hidden Smile of God</t>
  </si>
  <si>
    <t>A Holy Ambition: To Preach Where Christ Has Not Been Named</t>
  </si>
  <si>
    <t>Living in the Light Money Sex &amp; Power</t>
  </si>
  <si>
    <t>A Peculiar Glory: How the Christian Scriptures Reveal Their Complete Truthfulness</t>
  </si>
  <si>
    <t>The Pleasures of God</t>
  </si>
  <si>
    <t>The Roots of Endurance</t>
  </si>
  <si>
    <t>Spectacular Sins and Their Global Purpose . . .</t>
  </si>
  <si>
    <t>Suffering and the Sovereignty of God</t>
  </si>
  <si>
    <t>Think</t>
  </si>
  <si>
    <t>Think (paperback)</t>
  </si>
  <si>
    <t>This Momentary Marriage</t>
  </si>
  <si>
    <t>What Jesus Demands from the World</t>
  </si>
  <si>
    <t>What's the Difference?  Manhood and Womanhood . . .</t>
  </si>
  <si>
    <t>When I Don't Desire God</t>
  </si>
  <si>
    <t>When the Darkness Will Not Lift</t>
  </si>
  <si>
    <t>Suffering, Depression</t>
  </si>
  <si>
    <t>Piper, Noël</t>
  </si>
  <si>
    <t>Faithful Women &amp; Their Extraordinary God</t>
  </si>
  <si>
    <t>Pippert, Rebecca Manley</t>
  </si>
  <si>
    <t>Stay Salt: The World Has Changed, Our Message Must Not</t>
  </si>
  <si>
    <t>Plant, Robert</t>
  </si>
  <si>
    <t>Titanic: The Ship of Dreams/John Harper</t>
  </si>
  <si>
    <t>Torch Bearers</t>
  </si>
  <si>
    <t>Plowman, Ginger</t>
  </si>
  <si>
    <t>Don't Make Me Count to Three!</t>
  </si>
  <si>
    <t>Postman, Neil</t>
  </si>
  <si>
    <t>Amusing Ourselves to Death</t>
  </si>
  <si>
    <t>Powlison, David</t>
  </si>
  <si>
    <t>The Biblical Counseling Movement</t>
  </si>
  <si>
    <t>God's Grace in Your Suffering</t>
  </si>
  <si>
    <t>Good &amp; Angry: Redeeming Anger, Irritation, Complaining, and Bitterness</t>
  </si>
  <si>
    <t>Gus Loses His Grip</t>
  </si>
  <si>
    <t>How Does Sanctification Work?</t>
  </si>
  <si>
    <t>Jax's Tail Twitches</t>
  </si>
  <si>
    <t>Making All Things New Restoring: Joy to the Sexually Broken</t>
  </si>
  <si>
    <t>On Redeeming Psychology</t>
  </si>
  <si>
    <t>JBC Must Reads</t>
  </si>
  <si>
    <t>On Suffering</t>
  </si>
  <si>
    <t>Seeing with New Eyes: Counseling and the Human Condition Through the Lens of Scripture</t>
  </si>
  <si>
    <t>Speaking the Truth in Love</t>
  </si>
  <si>
    <t>Zoe's Hiding Place</t>
  </si>
  <si>
    <t>Powlison, David and Nan (editors)</t>
  </si>
  <si>
    <t>Buster Tries to Bail: When You Are Stressed</t>
  </si>
  <si>
    <t>Stress</t>
  </si>
  <si>
    <t>Poythress, Vern S.</t>
  </si>
  <si>
    <t>God Centered Biblical Interpretation</t>
  </si>
  <si>
    <t>Prentiss, Elizabeth</t>
  </si>
  <si>
    <t>Comfortable Troubles</t>
  </si>
  <si>
    <t>Lamplighter</t>
  </si>
  <si>
    <t>Priolo, Lou</t>
  </si>
  <si>
    <t>Pleasing People: How Not to be an "Approval Junkie"</t>
  </si>
  <si>
    <t>Provencher, Devon</t>
  </si>
  <si>
    <t>God</t>
  </si>
  <si>
    <t>Big Theology for Little Hearts</t>
  </si>
  <si>
    <t>The Gospel</t>
  </si>
  <si>
    <t>Jesus</t>
  </si>
  <si>
    <t>Rainer, Thom S.</t>
  </si>
  <si>
    <t>I Am a Church Member</t>
  </si>
  <si>
    <t>I Could, I Might, I Can, I Should, I Will!  Nine Traits of the Outwardly Focused Christian</t>
  </si>
  <si>
    <t>Ramey, Ken</t>
  </si>
  <si>
    <t>Expository Listening: A Practical Handbook for Hearing and Doing God's Word</t>
  </si>
  <si>
    <t>Reeves, Michael</t>
  </si>
  <si>
    <t>Delighting in the Trinity</t>
  </si>
  <si>
    <t>Gospel People: A Call for Evangelical Integrity</t>
  </si>
  <si>
    <t>Rejoice and Tremble: The Surprising Good News of the Fear of the Lord</t>
  </si>
  <si>
    <t>Reinke, Tony</t>
  </si>
  <si>
    <t>12 Ways Your Phone is Changing You</t>
  </si>
  <si>
    <t>Competing Spectacles: Treasuing Christ in the Media Age</t>
  </si>
  <si>
    <t>Time Management, Media</t>
  </si>
  <si>
    <t>God, Technology, and the Christian Life</t>
  </si>
  <si>
    <t>Reissig, Courtney</t>
  </si>
  <si>
    <t>The Accidental Feminist</t>
  </si>
  <si>
    <t>Reju, Deepak</t>
  </si>
  <si>
    <t>Pornography: Fighting for Purity</t>
  </si>
  <si>
    <t>Sexuality, Sin</t>
  </si>
  <si>
    <t>Repp, Gloria</t>
  </si>
  <si>
    <t>Nothing Daunted: The Story of Isobel Kuhn</t>
  </si>
  <si>
    <t>Trouble at Silver Pines Inn</t>
  </si>
  <si>
    <t>Rhodes, Matt</t>
  </si>
  <si>
    <t>No Shortcut to Success: A Manifesto for Modern Missions</t>
  </si>
  <si>
    <t>Ricucci, Gary &amp; Betsy</t>
  </si>
  <si>
    <t xml:space="preserve">Love That Lasts: How We Discovered God’s Better Way for Love, Dating, Marriage, and Sex </t>
  </si>
  <si>
    <t>Dating, Marriage, Sexuality</t>
  </si>
  <si>
    <t>Rigney, Joe</t>
  </si>
  <si>
    <t>The Things of the Earth</t>
  </si>
  <si>
    <t>Roberts, Vaughn</t>
  </si>
  <si>
    <t>God's Big Picture: Tracing the Storyline of the Bible</t>
  </si>
  <si>
    <t>Ryken, Leland</t>
  </si>
  <si>
    <t>Choosing a Bible</t>
  </si>
  <si>
    <t>The ESV and the English Bible Legacy</t>
  </si>
  <si>
    <t>Ryken, Phil</t>
  </si>
  <si>
    <t>Loving the Way Jesus Loves</t>
  </si>
  <si>
    <t>When Trouble Comes</t>
  </si>
  <si>
    <t>Ryken, Philip Graham</t>
  </si>
  <si>
    <t>City on a Hill: Reclaiming the Biblical Pattern for the Church</t>
  </si>
  <si>
    <t>Communion of Saints: Living in Fellowship with the People of God</t>
  </si>
  <si>
    <t>Ryle, J.C.</t>
  </si>
  <si>
    <t>Do You Pray? A Question for Everybody</t>
  </si>
  <si>
    <t>Expository Thoughts on John (Vol 1)</t>
  </si>
  <si>
    <t>Expository Thoughts on John (Vol 2)</t>
  </si>
  <si>
    <t>Expository Thoughts on John (Vol 3)</t>
  </si>
  <si>
    <t>Expository Thoughts on Luke (Pt. 1 &amp; 2)</t>
  </si>
  <si>
    <t>Expository Thoughts on Mark</t>
  </si>
  <si>
    <t>Expository Thoughts on Matthew</t>
  </si>
  <si>
    <t>Holiness</t>
  </si>
  <si>
    <t>Thoughts for Young Men</t>
  </si>
  <si>
    <t>Sande, Ken</t>
  </si>
  <si>
    <t>The Peacemaker</t>
  </si>
  <si>
    <t>Relationships, Conflict</t>
  </si>
  <si>
    <t>Peacemaking for Families</t>
  </si>
  <si>
    <t>Relationships, Family</t>
  </si>
  <si>
    <t>?</t>
  </si>
  <si>
    <t>Resolving Everyday Conflict</t>
  </si>
  <si>
    <t>Sanders, J. Oswald</t>
  </si>
  <si>
    <t>The Incomparable Christ</t>
  </si>
  <si>
    <t>Spiritual Leadership</t>
  </si>
  <si>
    <t>Saucy, Robert L.</t>
  </si>
  <si>
    <t>The Church in God's Program</t>
  </si>
  <si>
    <t>Schaeffer, Francis A.</t>
  </si>
  <si>
    <t>Francis Schaeffer Trilogy (Escape from Reason, The God Who Is There, He Is There and He Is Not Silent)</t>
  </si>
  <si>
    <t>The Great Evangelical Disaster</t>
  </si>
  <si>
    <t>Church, Culture</t>
  </si>
  <si>
    <t>How Should We Then Live?</t>
  </si>
  <si>
    <t>History, Apologetics</t>
  </si>
  <si>
    <t>Schreiner, Patrick</t>
  </si>
  <si>
    <t>The Kingdom of God and the Glory of the Cross</t>
  </si>
  <si>
    <t>Schreiner, Thomas R.</t>
  </si>
  <si>
    <t>Faith Alone: The Doctrine of Justification</t>
  </si>
  <si>
    <t>Schreiner, Thomas R.; Kostenberger, Andreas</t>
  </si>
  <si>
    <t>Women in the Church</t>
  </si>
  <si>
    <t>Kostenberger</t>
  </si>
  <si>
    <t>Selvaggio, Anthony</t>
  </si>
  <si>
    <t>7 Toxic Ideas Polluting Your Mind</t>
  </si>
  <si>
    <t>Culture, Secularism</t>
  </si>
  <si>
    <t>Shaw, Ian J</t>
  </si>
  <si>
    <t>Churches, Revolutions &amp; Empires 1789-1914</t>
  </si>
  <si>
    <t>Sibbes, Richard</t>
  </si>
  <si>
    <t>The Bruised Reed</t>
  </si>
  <si>
    <t>Sire, James W</t>
  </si>
  <si>
    <t>The Universe Next Door: A Basic Worldview Catalog</t>
  </si>
  <si>
    <t>Smallman, Stephen</t>
  </si>
  <si>
    <t>The Walk</t>
  </si>
  <si>
    <t>Smethurst, Matt</t>
  </si>
  <si>
    <t>Before You Open Your Bible: Nine Heart Postures for Approaching God's Word</t>
  </si>
  <si>
    <t>Before You Share Your Faith: Five Ways to Be Evangelism Ready</t>
  </si>
  <si>
    <t>Smith, J.C.</t>
  </si>
  <si>
    <t>Robert Murray M'Cheyne: A Good Minister . . .</t>
  </si>
  <si>
    <t>Smith, Ken G.</t>
  </si>
  <si>
    <t>With Him: A Biblical Model of Discipleship for Men</t>
  </si>
  <si>
    <t>Smith, William P</t>
  </si>
  <si>
    <t>Caught Off Guard</t>
  </si>
  <si>
    <t>Smith, Winston T</t>
  </si>
  <si>
    <t>Marriage Matters</t>
  </si>
  <si>
    <t>On Relationships</t>
  </si>
  <si>
    <t>Somerville, Robert B.</t>
  </si>
  <si>
    <t>If I'm a Christian, Why Am I Depressed?</t>
  </si>
  <si>
    <t>Southworth</t>
  </si>
  <si>
    <t>Ischmael</t>
  </si>
  <si>
    <t>Self-Raised</t>
  </si>
  <si>
    <t>Sproul, R.C.</t>
  </si>
  <si>
    <t>Getting the Gospel Right: The Tie That Binds Evangelicals Together</t>
  </si>
  <si>
    <t>The Intimate Marriage</t>
  </si>
  <si>
    <t xml:space="preserve">Sproul, R.C. </t>
  </si>
  <si>
    <t>The Holiness of God, Chosen by God, Pleasing God: Three Volumes in One</t>
  </si>
  <si>
    <t>Are We Together?: A Protestant Analyzes Roman Catholicism</t>
  </si>
  <si>
    <t>Catholicism</t>
  </si>
  <si>
    <t>Chosen by God</t>
  </si>
  <si>
    <t>The Donkey Who Carried a King</t>
  </si>
  <si>
    <t>Everyone's a Theologian: An Introduction . . .</t>
  </si>
  <si>
    <t>The Holiness of God</t>
  </si>
  <si>
    <t>The Hunger for Significance: Seeing the Image of God in Man</t>
  </si>
  <si>
    <t>The King without a Shadow</t>
  </si>
  <si>
    <t>The Knight's Map</t>
  </si>
  <si>
    <t>Meeting Jesus: The 'I Am' Sayings of Christ</t>
  </si>
  <si>
    <t>The Mystery of the Holy Spirit</t>
  </si>
  <si>
    <t xml:space="preserve">Pleasing God </t>
  </si>
  <si>
    <t>The Priest with Dirty Clothes</t>
  </si>
  <si>
    <t>The Prince's Poison Cup</t>
  </si>
  <si>
    <t>The Soul's Quest for God</t>
  </si>
  <si>
    <t>Surprised by Suffering</t>
  </si>
  <si>
    <t>What is Reformed Theology?</t>
  </si>
  <si>
    <t>Stein, Robert H.</t>
  </si>
  <si>
    <t>The New American Commentary: Luke</t>
  </si>
  <si>
    <t xml:space="preserve">Stott, John R. W. </t>
  </si>
  <si>
    <t>Baptism &amp; Fullness</t>
  </si>
  <si>
    <t>Strackbein, Jenna and Shanna</t>
  </si>
  <si>
    <t>Kathrine von Bora: The Morning Star of Wittenberg</t>
  </si>
  <si>
    <t>Strange, Daniel</t>
  </si>
  <si>
    <t>Making Faith Magnetic: Five Hidden Themes Our Culture Can't Stop Talking About and How to Connect Them to Christ</t>
  </si>
  <si>
    <t>Plugged In: Connecting Your Faith with What You Watch, Read, and Play</t>
  </si>
  <si>
    <t>Culture, Media</t>
  </si>
  <si>
    <t>Strauch, Alexander</t>
  </si>
  <si>
    <t>Biblical Eldership</t>
  </si>
  <si>
    <t>The Hospitality Commands: Building Bridges to Friends and Neighbors</t>
  </si>
  <si>
    <t>Swift, Catherine</t>
  </si>
  <si>
    <t>Eric Liddell</t>
  </si>
  <si>
    <t>Tada, Joni Eareckson</t>
  </si>
  <si>
    <t>The God I Love</t>
  </si>
  <si>
    <t>Tada, Joni Eareckson; Estes, Steve</t>
  </si>
  <si>
    <t>When God Weeps</t>
  </si>
  <si>
    <t>Estes</t>
  </si>
  <si>
    <t>Talbert, Layton</t>
  </si>
  <si>
    <t xml:space="preserve">Not by Chance: How Parents Boost Their Teen's Success In and After Treatment </t>
  </si>
  <si>
    <t>Tauges, Paul</t>
  </si>
  <si>
    <t>Counsel One Another</t>
  </si>
  <si>
    <t>Counseling, Fellowship</t>
  </si>
  <si>
    <t>Taylor, Helen L</t>
  </si>
  <si>
    <t>Little Pilgrim's Progress</t>
  </si>
  <si>
    <t>Taylor, J. Hudson</t>
  </si>
  <si>
    <t>Hudson Taylor</t>
  </si>
  <si>
    <t>Taylor, Kenneth N.</t>
  </si>
  <si>
    <t>Everything a Child Should Know About God</t>
  </si>
  <si>
    <t>Taylor, Mrs. Howard</t>
  </si>
  <si>
    <t>Borden of Yale</t>
  </si>
  <si>
    <t>Ten Boom, Corrie</t>
  </si>
  <si>
    <t>The Hiding Place</t>
  </si>
  <si>
    <t>Thomas, Derek W. H.</t>
  </si>
  <si>
    <t>How the Gospel Brings Us All the Way Home</t>
  </si>
  <si>
    <t>Thomas, Robert L</t>
  </si>
  <si>
    <t>Understanding Spiritual Gifts (1 Cor 12-14)</t>
  </si>
  <si>
    <t>Thompson, Jim</t>
  </si>
  <si>
    <t>Prophecy Today: A Further Word from God?</t>
  </si>
  <si>
    <t>Prophecy</t>
  </si>
  <si>
    <t>Thornton, Champ</t>
  </si>
  <si>
    <t>The Radical Book for Kids</t>
  </si>
  <si>
    <t>Why Do We Say Good Night?</t>
  </si>
  <si>
    <t xml:space="preserve">Thune, Robert H. </t>
  </si>
  <si>
    <t>Gospel Eldership</t>
  </si>
  <si>
    <t>Tozer, A.W.</t>
  </si>
  <si>
    <t>Attributes of God, Volume 1</t>
  </si>
  <si>
    <t>The Knowledge of the Holy</t>
  </si>
  <si>
    <t>Traeger, Sebastian</t>
  </si>
  <si>
    <t>The Gospel at Work: How the Gospel Gives New Purpose and Meaning to Our Jobs</t>
  </si>
  <si>
    <t>Gilbert</t>
  </si>
  <si>
    <t>Gospel, Vocation</t>
  </si>
  <si>
    <t>Travis, Lucille</t>
  </si>
  <si>
    <t>George Whitefield: The Voice That Woke the World</t>
  </si>
  <si>
    <t>Paul Brand: The Shoes That Love Made</t>
  </si>
  <si>
    <t>Tripp, Paul David</t>
  </si>
  <si>
    <t>Age of Opportunity: A Biblical Guide to Parenting Teens</t>
  </si>
  <si>
    <t>Come Let Us Adore Him: A Daily Advent Devotional</t>
  </si>
  <si>
    <t xml:space="preserve">Dangerous Calling: Confronting the Unique Challenges of Pastoral Ministry </t>
  </si>
  <si>
    <t>Instruments in the Redeemer's Hands</t>
  </si>
  <si>
    <t>Lost in the Middle: Midlife and the Grace of God</t>
  </si>
  <si>
    <t>New Morning Mercies</t>
  </si>
  <si>
    <t>On Parenting</t>
  </si>
  <si>
    <t>A Quest for More</t>
  </si>
  <si>
    <t>Sex &amp; Money</t>
  </si>
  <si>
    <t>Sexuality, Finances</t>
  </si>
  <si>
    <t>Suffering: Gospel Hope When Life Doesn't Make Sense</t>
  </si>
  <si>
    <t>War of Words: Getting to the Heart of Your Communication Struggles</t>
  </si>
  <si>
    <t>What Did You Expect?: Redeeming the Realities of Marriage</t>
  </si>
  <si>
    <t>Tripp, Paul David (editor)</t>
  </si>
  <si>
    <t>Halle Takes a Stand: When You Want to Fit In</t>
  </si>
  <si>
    <t>Peer Pressure</t>
  </si>
  <si>
    <t>Tripp, Tedd</t>
  </si>
  <si>
    <t>Shepherding a Child's Heart</t>
  </si>
  <si>
    <t>Trueman, Carl R.</t>
  </si>
  <si>
    <t>Fools Rush In  Where Monkeys Fear to Tread: Taking Aim at Everyone</t>
  </si>
  <si>
    <t>Grace Alone: Salvation as a Gift of God</t>
  </si>
  <si>
    <t>Strange New World: How Thinkers and Activists Redefined Identity and Sparked the Sexual Revolution</t>
  </si>
  <si>
    <t>Van Der Velde, Abigail</t>
  </si>
  <si>
    <t>Johanna and Henriette Kuyper</t>
  </si>
  <si>
    <t>VanDoodewaard, Rebecca</t>
  </si>
  <si>
    <t>The Doctor Who Became a Preacher: Martyn Lloyd-Jones</t>
  </si>
  <si>
    <t>Boardbook*</t>
  </si>
  <si>
    <t>Labeled for CBC Nursery--not for checkout</t>
  </si>
  <si>
    <t>The Man Who Preached Outside: George Whitefield</t>
  </si>
  <si>
    <t>The Woman Who Helped a Reformer: Katharina Luther</t>
  </si>
  <si>
    <t>The Woman Who Loved to Give Books: Susannah Spurgeon</t>
  </si>
  <si>
    <t>Vandrunen, David</t>
  </si>
  <si>
    <t>God's Glory Alone</t>
  </si>
  <si>
    <t>Vaughn, Ellen</t>
  </si>
  <si>
    <t>Becoming Elisabeth Elliot</t>
  </si>
  <si>
    <t>Venema, Cornelis P.</t>
  </si>
  <si>
    <t>Getting the Gospel Right</t>
  </si>
  <si>
    <t>Vickers, Brian</t>
  </si>
  <si>
    <t>Justification by Grace through Faith: Finding Freedom from Legalism, Lawlessness, Pride, and Despair</t>
  </si>
  <si>
    <t>Von Schmid, Christopher</t>
  </si>
  <si>
    <t>A Basket of Flowers</t>
  </si>
  <si>
    <t>Classic Stories</t>
  </si>
  <si>
    <t>Vroegop, Mark</t>
  </si>
  <si>
    <t>Dark Clouds, Deep Mercy: Discovering the Grace of Lament</t>
  </si>
  <si>
    <t>Walgemuth, Nancy DeMoss</t>
  </si>
  <si>
    <t>Lies Women Believe and the Truth That Sets Them Free</t>
  </si>
  <si>
    <t>Walker, Andrew T.</t>
  </si>
  <si>
    <t>God and the Transgender Debate</t>
  </si>
  <si>
    <t>Walker, Constance K.</t>
  </si>
  <si>
    <t>Adolphe Monod</t>
  </si>
  <si>
    <t>Wallace, Sara</t>
  </si>
  <si>
    <t>For the Love of Discipline: When the Gospel Meets Tantrums and Time-Outs</t>
  </si>
  <si>
    <t>Discipline</t>
  </si>
  <si>
    <t>Walton, O.F.</t>
  </si>
  <si>
    <t>Christie the King's Servant</t>
  </si>
  <si>
    <t>Christie's Old Organ</t>
  </si>
  <si>
    <t>Waters, Guy Prentiss</t>
  </si>
  <si>
    <t>The Lord's Supper as the Sign and Meal of the New Covenant</t>
  </si>
  <si>
    <t>Watkins, Dawn L</t>
  </si>
  <si>
    <t>Zoli's Legacy</t>
  </si>
  <si>
    <t>Watson, Thomas</t>
  </si>
  <si>
    <t>The Doctrine of Repentance</t>
  </si>
  <si>
    <t>The Godly Man's Picture</t>
  </si>
  <si>
    <t>Puritan Papers</t>
  </si>
  <si>
    <t>Wehman, et al.</t>
  </si>
  <si>
    <t>New Bible Commentary</t>
  </si>
  <si>
    <t>Welch, Edward T</t>
  </si>
  <si>
    <t>Addictions</t>
  </si>
  <si>
    <t>Addiction</t>
  </si>
  <si>
    <t>Blame It On the Brain: Distinguishing Chemical Imbalances, Brain Disorders, and Disobedience</t>
  </si>
  <si>
    <t>Depression, a Stubborn Darkness</t>
  </si>
  <si>
    <t>Depression, Looking up from the Stubborn Darkness</t>
  </si>
  <si>
    <t>Henry Says Good-Bye</t>
  </si>
  <si>
    <t>On Anger</t>
  </si>
  <si>
    <t>Running Scared: Fear, Worry, and the God of Rest</t>
  </si>
  <si>
    <t>Fear, Anxiety</t>
  </si>
  <si>
    <t>Shame Interrupted: How God Lifts the Pain of Worthlessness and Rejection</t>
  </si>
  <si>
    <t>Shame</t>
  </si>
  <si>
    <t>Side by Side: Walking with Others in Wisdom and Love</t>
  </si>
  <si>
    <t>A Small Book About a Big Problem: Meditations on Anger, Patience, and Peace</t>
  </si>
  <si>
    <t>What Do You Think of Me?  Why Do I Care?</t>
  </si>
  <si>
    <t>When People Are Big and God is Small</t>
  </si>
  <si>
    <t>Welch, Edward T.</t>
  </si>
  <si>
    <t>Buster's Ears Trip Him Up</t>
  </si>
  <si>
    <t>Created to Draw Near</t>
  </si>
  <si>
    <t>Priesthood</t>
  </si>
  <si>
    <t>Welch, Edward T. (editor)</t>
  </si>
  <si>
    <t>Caspian Crashes the Party: When You Are Jealous</t>
  </si>
  <si>
    <t>Jealousy</t>
  </si>
  <si>
    <t>Wells, David R.</t>
  </si>
  <si>
    <t>Above All Earthly Powers: Christ in a Postmodern World</t>
  </si>
  <si>
    <t>God in the Wastelands: The Reality of Truth in a World of Fading Dreams</t>
  </si>
  <si>
    <t>God in the Whirlwind: How the Holy-love of God Reorients Our World</t>
  </si>
  <si>
    <t xml:space="preserve">Losing Our Virtue: Why the Church Must Recover Its Moral Vision </t>
  </si>
  <si>
    <t>No Place for Truth: or Whatever Happened to Evangelical Theology?</t>
  </si>
  <si>
    <t>Whelchel, Hugh</t>
  </si>
  <si>
    <t>HOW Then SHOULD We Work?: Rediscovering the Biblical Doctrine of Work</t>
  </si>
  <si>
    <t>White, David</t>
  </si>
  <si>
    <t>Sexual Sanity for Men</t>
  </si>
  <si>
    <t>White, James R.</t>
  </si>
  <si>
    <t>What Every Christian Need to Know about the Qur'an</t>
  </si>
  <si>
    <t>White, Kathleen</t>
  </si>
  <si>
    <t>John and Betty Stam</t>
  </si>
  <si>
    <t>White, Paul</t>
  </si>
  <si>
    <t>Eyes on Jungle Doctor</t>
  </si>
  <si>
    <t>Jungle Doctor</t>
  </si>
  <si>
    <t>Jungle Doctor Spots a Leopard</t>
  </si>
  <si>
    <t>Jungle Doctor Stings a Scorpion</t>
  </si>
  <si>
    <t>Jungle Doctor's Africa</t>
  </si>
  <si>
    <t>Jungle Doctor's Crooked Dealings</t>
  </si>
  <si>
    <t>Jungle Doctor's Enemies</t>
  </si>
  <si>
    <t>Whitman, Lauren</t>
  </si>
  <si>
    <t>A Painful Past: Healing and Moving Forward</t>
  </si>
  <si>
    <t>31-Day Devotionals for Life</t>
  </si>
  <si>
    <t>Regret, Grief, Suffering</t>
  </si>
  <si>
    <t>Wilken, Jen</t>
  </si>
  <si>
    <t>In His Image: 10 Ways God Calls Us To Reflect His Character</t>
  </si>
  <si>
    <t>None Like Him</t>
  </si>
  <si>
    <t>Wilken, Robert Louis</t>
  </si>
  <si>
    <t>The First Thousand Years</t>
  </si>
  <si>
    <t>Williams, Michael J.</t>
  </si>
  <si>
    <t>The Prophet and His Message: Reading OT Prophecy Today</t>
  </si>
  <si>
    <t>Williams, Thaddeus J.</t>
  </si>
  <si>
    <t>Confronting Injustice without Compromising Truth: 12 Questions Christians Should Ask about Social Justice</t>
  </si>
  <si>
    <t>Social Justice</t>
  </si>
  <si>
    <t>Williamson, Denise</t>
  </si>
  <si>
    <t>Silent Road to Rescue</t>
  </si>
  <si>
    <t>Withrow, Brandon G</t>
  </si>
  <si>
    <t>Katherine Parr</t>
  </si>
  <si>
    <t>Withrow, Mindy and Brandon</t>
  </si>
  <si>
    <t>Courage and Conviction (Volume 3)</t>
  </si>
  <si>
    <t>History Lives</t>
  </si>
  <si>
    <t>Hearts and Hands (Volume 4)</t>
  </si>
  <si>
    <t>Monks and Mystics (Volume 2)</t>
  </si>
  <si>
    <t>Peril and Peace (Volume 1)</t>
  </si>
  <si>
    <t>Rescue and Redeem (Volume 5)</t>
  </si>
  <si>
    <t>Witmer, Timothy Z</t>
  </si>
  <si>
    <t>The Shepherd Leader at Home</t>
  </si>
  <si>
    <t>The Shepherd Leader</t>
  </si>
  <si>
    <t>Witt, Rush</t>
  </si>
  <si>
    <t>Diehard Sins: How to Fight Wisely against Destructive Habits</t>
  </si>
  <si>
    <t>Wolterstorff, Nicholas</t>
  </si>
  <si>
    <t>Lament for a Son</t>
  </si>
  <si>
    <t>Wong, Kenman L</t>
  </si>
  <si>
    <t>Business for the Common Good: A Christian Vision for the Marketplace</t>
  </si>
  <si>
    <t>Rae</t>
  </si>
  <si>
    <t>Worcester, Mrs. J. H. Jr.</t>
  </si>
  <si>
    <t>David Livingstone: First to Cross Africa with the Gospel</t>
  </si>
  <si>
    <t>Yarbrough, Robert W.</t>
  </si>
  <si>
    <t>The Letters to Timothy and Titus</t>
  </si>
  <si>
    <t>The Pillar New Testament Commentary</t>
  </si>
  <si>
    <t>Yates, Elizabeth</t>
  </si>
  <si>
    <t>The Journeyman</t>
  </si>
  <si>
    <t>Ytreeide, Arnold</t>
  </si>
  <si>
    <t>Bartholomew's Passage: A Family Story for Advent</t>
  </si>
  <si>
    <t>Advent</t>
  </si>
  <si>
    <t>Ishar's Odyssey: A Family Story for Advent</t>
  </si>
  <si>
    <t>Tabitha's Travels: A Family Story for Advent</t>
  </si>
  <si>
    <t>The Adoniram and Ann Judson Story</t>
  </si>
  <si>
    <t>DVD</t>
  </si>
  <si>
    <t>Kids</t>
  </si>
  <si>
    <t>Torchlighters</t>
  </si>
  <si>
    <t>Table2</t>
  </si>
  <si>
    <t>The Amy Charmichael Story</t>
  </si>
  <si>
    <t>The Augustine Story</t>
  </si>
  <si>
    <t>The Corrie Ten Boom Story</t>
  </si>
  <si>
    <t>Checked out on 3/22/19; follow up on whether this was returned</t>
  </si>
  <si>
    <t>Dangerous Journey: A Victorious Journey of Faith and Pilgrimage</t>
  </si>
  <si>
    <t>Defense of New Haven</t>
  </si>
  <si>
    <t>The Easter Promise/The Witness</t>
  </si>
  <si>
    <t>The Eric Liddell Story</t>
  </si>
  <si>
    <t>The George Muller Story</t>
  </si>
  <si>
    <t>The Gladys Aylward Story</t>
  </si>
  <si>
    <t>Checked out on 5/9/18; follow up on whether this was returned</t>
  </si>
  <si>
    <t>The Harriet Tubman Story</t>
  </si>
  <si>
    <t>Jesus: He Lived Among Us</t>
  </si>
  <si>
    <t>The Jim Elliot Story</t>
  </si>
  <si>
    <t>The John Bunyan Story</t>
  </si>
  <si>
    <t>The John Newton Story</t>
  </si>
  <si>
    <t>The John Wesley Story</t>
  </si>
  <si>
    <t>The Martin Luther Story</t>
  </si>
  <si>
    <t>Operation Arctic: Viking Invasion</t>
  </si>
  <si>
    <t>Patch the Pirate Kids</t>
  </si>
  <si>
    <t>The Perpetua Story</t>
  </si>
  <si>
    <t>The Pilgrim's Progress</t>
  </si>
  <si>
    <t xml:space="preserve">The Richard Wurmbrand Story </t>
  </si>
  <si>
    <t>The Robert Jermain Thomas Story</t>
  </si>
  <si>
    <t>The Runner from Ravenshead</t>
  </si>
  <si>
    <t>The Samuel Morris Story</t>
  </si>
  <si>
    <t>The Star: A Tale of Faith and Friendship</t>
  </si>
  <si>
    <t>The William Booth Story</t>
  </si>
  <si>
    <t>The William Tyndale Story</t>
  </si>
  <si>
    <t>An Introduction to What's the Difference?  Manhood and Womanhood Defined According to the Bible</t>
  </si>
  <si>
    <t>Getting to the Heart of Parenting</t>
  </si>
  <si>
    <t>Sex and the Supremacy of Christ</t>
  </si>
  <si>
    <t>Somebody's Daughter A Journey to Freedom from Porn</t>
  </si>
  <si>
    <t>What Did You Expect?  Redeeming the Reality of Marriage</t>
  </si>
  <si>
    <t>1 Peter with Don Carson (with study guide booklet)</t>
  </si>
  <si>
    <t>DVD/Bk</t>
  </si>
  <si>
    <t>Adoniram and Ann Judson</t>
  </si>
  <si>
    <t>Alone Yet Not Alone</t>
  </si>
  <si>
    <t>Checked out on 7/21/19; follow up on whether this was returned</t>
  </si>
  <si>
    <t>Already Gone: Why Your Kids Will Quit Church . . .</t>
  </si>
  <si>
    <t>Checked out on 3/7/16; follow up on whether this was returned</t>
  </si>
  <si>
    <t>Andrew Murray: Africa for Christ,  A documentary about a true spiritual pioneer</t>
  </si>
  <si>
    <t>Anthology</t>
  </si>
  <si>
    <t>Alliance of Confessing Evangelicals - Princeton Conference</t>
  </si>
  <si>
    <t>The Apocalypse</t>
  </si>
  <si>
    <t>The Bible Collection</t>
  </si>
  <si>
    <t>Battling Unbelief</t>
  </si>
  <si>
    <t>The Biggest Story</t>
  </si>
  <si>
    <t>The Blazing Center</t>
  </si>
  <si>
    <t>Checked out on 9/3/17; follow up on whether this was returned</t>
  </si>
  <si>
    <t>Bonhoeffer: Agent of Grace</t>
  </si>
  <si>
    <t>C.H. Spurgeon</t>
  </si>
  <si>
    <t>Checked out on 5/30/18; follow up on whether this was returned</t>
  </si>
  <si>
    <t>C.S. Lewis through the Shadowlands</t>
  </si>
  <si>
    <t>C.T. Studd: Gifted Athlete Pioneering Missionary</t>
  </si>
  <si>
    <t>Calvin, Zwingli, and Brother Klaus</t>
  </si>
  <si>
    <t>Shapers of the Faith</t>
  </si>
  <si>
    <t>Candle in the Dark</t>
  </si>
  <si>
    <t>Carl Henry &amp; Kenneth Kantzer</t>
  </si>
  <si>
    <t>Christian Catalyst Collection</t>
  </si>
  <si>
    <t>The Case for Christ</t>
  </si>
  <si>
    <t>Chariots of Fire</t>
  </si>
  <si>
    <t>Charles Wesley: Hymns of Praise</t>
  </si>
  <si>
    <t>Choosing My Religion</t>
  </si>
  <si>
    <t>Christian Catalyst: John Stott</t>
  </si>
  <si>
    <t>Christianity and Islam</t>
  </si>
  <si>
    <t>The Climb</t>
  </si>
  <si>
    <t>Come Follow Me: The Ultimate Journey</t>
  </si>
  <si>
    <t>Courageous</t>
  </si>
  <si>
    <t>Cross and the Switchblade</t>
  </si>
  <si>
    <t>Checked out on 6/6/18; follow up on whether this was returned</t>
  </si>
  <si>
    <t>Cry from the Mountain</t>
  </si>
  <si>
    <t>David Brainerd: Missionary to the American Indians</t>
  </si>
  <si>
    <t>The Deliberate Church: Building Your Ministry on the Gospel</t>
  </si>
  <si>
    <t>Dever, Mark; Alexander, Paul</t>
  </si>
  <si>
    <t>Episode 1:  Islands on the Edge</t>
  </si>
  <si>
    <t>Dispatches from the Front</t>
  </si>
  <si>
    <t>Episode 2: A Bold Advance</t>
  </si>
  <si>
    <t>Episode 3:  I Once Was Blind</t>
  </si>
  <si>
    <t>Episode 4:  Souls of the Brave</t>
  </si>
  <si>
    <t>Episode 5:  Father, Give me Bread</t>
  </si>
  <si>
    <t>Episode 6: Power of His Rising</t>
  </si>
  <si>
    <t>Episode 7: Day of Battle: North Africa</t>
  </si>
  <si>
    <t>Episode 8: No Regrets, No Retreat: China</t>
  </si>
  <si>
    <t>Episode 9: Every Tribe: Cambodia, Laos &amp; Vietnam</t>
  </si>
  <si>
    <t>Episode 10: The Fourth Man: The Middle East</t>
  </si>
  <si>
    <t>Exploring ephesus: City of Apostles</t>
  </si>
  <si>
    <t>Luke's Dispatches, Episode 1: Just as Day Was Breaking: Jerusalem</t>
  </si>
  <si>
    <t>Luke's Dispatches, Episode 2: A Kingdom Without Borders: Caesarea &amp; Tyre</t>
  </si>
  <si>
    <t>Luke's Dispatches, Episode 3: City on a Hill: Turkey</t>
  </si>
  <si>
    <t>Luke's Dispatches, Episode 4: Radical Rescue Work: Athens</t>
  </si>
  <si>
    <t>Eric Liddell: Champion of  Conviction</t>
  </si>
  <si>
    <t>Facing the Giants</t>
  </si>
  <si>
    <t>The Fantasy Makers: Tolkien, Lewis, and MacDonald</t>
  </si>
  <si>
    <t>Fireproof</t>
  </si>
  <si>
    <t>Flywheel</t>
  </si>
  <si>
    <t>Forever: Why You Can't Live Without It</t>
  </si>
  <si>
    <t>The Fourth Wise Man</t>
  </si>
  <si>
    <t>Fury to Freedom: Tormented by Anger. Saved by Grace. The Inspiring True Story of Martial Arts Champion Raul Ries.</t>
  </si>
  <si>
    <t>Future Grace: The Purifying Power of the Promises of God</t>
  </si>
  <si>
    <t>Gladys Aylward: The Small Woman with a Great God</t>
  </si>
  <si>
    <t>Glory to God Alone: The Life of J.S. Bach</t>
  </si>
  <si>
    <t>God's Outlaw: The Story of William Tyndale</t>
  </si>
  <si>
    <t>God's Technology</t>
  </si>
  <si>
    <t>Gold through the Fire</t>
  </si>
  <si>
    <t>The Great Mr. Handel</t>
  </si>
  <si>
    <t>A Heart Set Free: The Life of Charles Wesley</t>
  </si>
  <si>
    <t>Checked out on 9/1/18; follow up on whether this was returned</t>
  </si>
  <si>
    <t>Schaeffer, Francis</t>
  </si>
  <si>
    <t>Hudson Taylor: Into the Heart of the Dragon</t>
  </si>
  <si>
    <t>Indescribable: Eight Centuries. Two Men. One Song.</t>
  </si>
  <si>
    <t>J.I. Packer</t>
  </si>
  <si>
    <t>James I Packer</t>
  </si>
  <si>
    <t>Jesus:  The Desire of the Ages</t>
  </si>
  <si>
    <t>John Hus: A Journey of No Return</t>
  </si>
  <si>
    <t>Knox: The Life and Legacy of Scotland's Controversial Reformer</t>
  </si>
  <si>
    <t>Last Flight Out</t>
  </si>
  <si>
    <t>The Last Sin Eater</t>
  </si>
  <si>
    <t>Let the Nations Be Glad</t>
  </si>
  <si>
    <t>Logic on Fire: The Life and Legacy of D.M. Lloyd-Jones (3 DVDs in 3 Cases)</t>
  </si>
  <si>
    <t>The Lord's Prayer</t>
  </si>
  <si>
    <t>Luther</t>
  </si>
  <si>
    <t>Marks of a Healthy Church</t>
  </si>
  <si>
    <t>Dever, Mark; Leeman, Jonathan</t>
  </si>
  <si>
    <t>Martin Luther: Return to Grace</t>
  </si>
  <si>
    <t>The Message of the Old Testament</t>
  </si>
  <si>
    <t>Millions of Years: Where Did the Idea Come From?</t>
  </si>
  <si>
    <t>Milltown Pride</t>
  </si>
  <si>
    <t>Mister Scrooge to See You!</t>
  </si>
  <si>
    <t>On Wings of Eagles: The Eric Liddell Story</t>
  </si>
  <si>
    <t>Open Their Eyes</t>
  </si>
  <si>
    <t>Overcomer: Life Changes for Coach Harrison</t>
  </si>
  <si>
    <t>Paul: The Apostle</t>
  </si>
  <si>
    <t>Peter and Paul</t>
  </si>
  <si>
    <t>The Prodigal</t>
  </si>
  <si>
    <t>The Protestant Revolt (Westminster)</t>
  </si>
  <si>
    <t>Providence</t>
  </si>
  <si>
    <t>The Radicals</t>
  </si>
  <si>
    <t>Race to Freedom: The Underground Railroad</t>
  </si>
  <si>
    <t>The Reason for God</t>
  </si>
  <si>
    <t>Relevance of Genesis</t>
  </si>
  <si>
    <t>Return to the Hiding Place &amp; The Hiding Place (2 DVDs)</t>
  </si>
  <si>
    <t>The Ride</t>
  </si>
  <si>
    <t>Road to Emmaus</t>
  </si>
  <si>
    <t>Robber of the Cruel Streets: The Prayerful Life of George Muller</t>
  </si>
  <si>
    <t>The Sabbath and Why We Worship on Sunday</t>
  </si>
  <si>
    <t>Science Confirms the Bible</t>
  </si>
  <si>
    <t>Scribbling in the Sand</t>
  </si>
  <si>
    <t>Michael Card</t>
  </si>
  <si>
    <t>The Secrets of Jonathan Sperry</t>
  </si>
  <si>
    <t>Sheffey</t>
  </si>
  <si>
    <t>Sing Over Me</t>
  </si>
  <si>
    <t>Jernigan, Dennis</t>
  </si>
  <si>
    <t>Six Steps to Loving Your Church</t>
  </si>
  <si>
    <t>Soul (Study of Mark)</t>
  </si>
  <si>
    <t>Spreading Flame, The Part 1:  Comes the Dawn</t>
  </si>
  <si>
    <t>Spreading Flame, The Part 2:  Story of the Bible</t>
  </si>
  <si>
    <t>Spreading Flame, The Part 3: Champions of Freedom</t>
  </si>
  <si>
    <t>Spreading Flame, The Part 4:  Winds of Change, The</t>
  </si>
  <si>
    <t>Spreading Flame, The Part 5: The Reformation Comes of Age</t>
  </si>
  <si>
    <t>Stand</t>
  </si>
  <si>
    <t>Storm and Luther's Forbidden Letter</t>
  </si>
  <si>
    <t>Strange Fire  2 Volumes-19 DVDs</t>
  </si>
  <si>
    <t>Checked out on 11/11/18; follow up on whether this was returned</t>
  </si>
  <si>
    <t>Supremacy of Christ in a Postmodern World (Desiring God 2006 National Conference)</t>
  </si>
  <si>
    <t>Tanglewood's Secret</t>
  </si>
  <si>
    <t>Patricia M. St. John</t>
  </si>
  <si>
    <t>This is Our Time To Seize God's Calling</t>
  </si>
  <si>
    <t>Though None Go With Me</t>
  </si>
  <si>
    <t>Time Changer</t>
  </si>
  <si>
    <t>The Treasure Map</t>
  </si>
  <si>
    <t>Treasures of the Snow: A story of friendship and forgiveness</t>
  </si>
  <si>
    <t>Tulip (DVD with Study Guide Book)</t>
  </si>
  <si>
    <t>Unbroken: The Story Behind the Film</t>
  </si>
  <si>
    <t>Under Jakob's Ladder</t>
  </si>
  <si>
    <t>Unidentified</t>
  </si>
  <si>
    <t>War Room</t>
  </si>
  <si>
    <t>Warriors of Honor</t>
  </si>
  <si>
    <t>Checked out on 6/7/18; follow up on whether this was returned</t>
  </si>
  <si>
    <t>Wesley: A Heart Transformed Can Change the World</t>
  </si>
  <si>
    <t>When Suffering Enters Your Door</t>
  </si>
  <si>
    <t>When Things Seem Impossible</t>
  </si>
  <si>
    <t>The Whole Christ</t>
  </si>
  <si>
    <t>Ferbuson, Sinclair B.</t>
  </si>
  <si>
    <t>Why We Believe the Bible</t>
  </si>
  <si>
    <t>Checked out on 4/22/12; follow up on whether this was returned</t>
  </si>
  <si>
    <t>Why We Trust the Bible</t>
  </si>
  <si>
    <t>Nichols, Stephen</t>
  </si>
  <si>
    <t>Wonders of God's Creation:  Whirling Winds</t>
  </si>
  <si>
    <t>Wonders of God's Creation: Animal Kingdom</t>
  </si>
  <si>
    <t>Wonders of God's Creation: Human Life</t>
  </si>
  <si>
    <t>Wonders of God's Creation: Planet Earth</t>
  </si>
  <si>
    <t>Wonders of God's Creation: The Milky Way &amp; Solar System</t>
  </si>
  <si>
    <t>Wonders of God's Creation: Thundering Earth/Roaring Waters</t>
  </si>
  <si>
    <t>Your Walk with God is a Community Project</t>
  </si>
  <si>
    <t>Zwingli &amp; Calvin</t>
  </si>
  <si>
    <t>Hide 'Em in Your Heart: Bible Memory Melodies Volume 1</t>
  </si>
  <si>
    <t>CD</t>
  </si>
  <si>
    <t>Green, Steve</t>
  </si>
  <si>
    <t>Table3</t>
  </si>
  <si>
    <t>Hide 'Em in Your Heart: Bible Memory Melodies Volume 2</t>
  </si>
  <si>
    <t>ColdHeartica</t>
  </si>
  <si>
    <t>Patch the Pirate</t>
  </si>
  <si>
    <t>Down Under</t>
  </si>
  <si>
    <t>Goes to the Jungle</t>
  </si>
  <si>
    <t>Kidnapped on I-Land</t>
  </si>
  <si>
    <t>Have back-up CD</t>
  </si>
  <si>
    <t>MisterSlippi River Race</t>
  </si>
  <si>
    <t>Ocean Commotion</t>
  </si>
  <si>
    <t>Time Twisters</t>
  </si>
  <si>
    <t>The Lightlings</t>
  </si>
  <si>
    <t>Nathaniel, the Grublet</t>
  </si>
  <si>
    <t>The Story of the Little Tree</t>
  </si>
  <si>
    <t>9 Marks Leadership Sampler</t>
  </si>
  <si>
    <t>Children of God (Phila Conf on Reformed Theology 2011)</t>
  </si>
  <si>
    <t>Alliance of Confessing Evangelicals</t>
  </si>
  <si>
    <t>From Dust to Glory:  A Tale of Two Adams</t>
  </si>
  <si>
    <t>Princeton Regional Conference on Reformed Theology 2011</t>
  </si>
  <si>
    <t>MP3 CD</t>
  </si>
  <si>
    <t>Texas Hill Country Bible Conference 2013</t>
  </si>
  <si>
    <t>The Theology of the Cross</t>
  </si>
  <si>
    <t>Part 1: Our Ancient Foe in the Garden by Hugh Kent</t>
  </si>
  <si>
    <t>Alliance of Confessing Evangelicals - Quakertown Conference</t>
  </si>
  <si>
    <t>Part 2: Know Our Ancient Foe by Tom Nettles</t>
  </si>
  <si>
    <t>Part 3: Exposing the Lies of Our Ancient Foe by Peter Jones</t>
  </si>
  <si>
    <t>Part 4: Deliverance from Our Ancient Foe by Kent Hughes</t>
  </si>
  <si>
    <t>Part 5: The Final Demise of Our Ancient Foe by Tom Nettles</t>
  </si>
  <si>
    <t>Workshop: A Life of Repentance: The Path to Joy by Denniss Cahill</t>
  </si>
  <si>
    <t>Workshop: How Did We Get Here, and Where Is the Culture Going?</t>
  </si>
  <si>
    <t>Quieting a Noisy Soul</t>
  </si>
  <si>
    <t>Course</t>
  </si>
  <si>
    <t>How Long, O Lord</t>
  </si>
  <si>
    <t>Missing; may be incorrectly labeled</t>
  </si>
  <si>
    <t>Children Desiring God: Resource Packets</t>
  </si>
  <si>
    <t>Evangelism (Pts. 1, 2, &amp; 3)</t>
  </si>
  <si>
    <t>Waves of Grace (John Newton)</t>
  </si>
  <si>
    <t>Focus on the Family Radio Theatre</t>
  </si>
  <si>
    <t>3 Steps to Rekindle Your Love for Christ</t>
  </si>
  <si>
    <t>Answering the Key Questions About the Doctrine of Electino</t>
  </si>
  <si>
    <t>Case Against the R-Rated Church</t>
  </si>
  <si>
    <t>Defending the Biblical Account of Creation</t>
  </si>
  <si>
    <t>Defending the Jesus of the Bible</t>
  </si>
  <si>
    <t>Defending Yourself in the War on Sin</t>
  </si>
  <si>
    <t>Exposing the Idolatry of Mary Worship: What the Bible Says</t>
  </si>
  <si>
    <t>The Fulfilled Family: Strengthening Your Family by the Book</t>
  </si>
  <si>
    <t>The Glory of Christian Suffering: 1 Peter</t>
  </si>
  <si>
    <t>God's Glory in Christ's Cross: Romans 3:25-31</t>
  </si>
  <si>
    <t>God's Purpose in Our Pain: 2 Corinthians 12:7-10</t>
  </si>
  <si>
    <t>How to Identify Terrorists in the Church</t>
  </si>
  <si>
    <t>John MacArthur Takes the Hot Seat</t>
  </si>
  <si>
    <t>John MacArthur's Life Testimony</t>
  </si>
  <si>
    <t>Lessons from a Modern Day Moral Shipwreck</t>
  </si>
  <si>
    <t>Long War on the Truth: Jude</t>
  </si>
  <si>
    <t>The Maniac Who Became a Missionary: Part 2</t>
  </si>
  <si>
    <t>Principles for Powerful Living: 1 Corinthians 16:13-14</t>
  </si>
  <si>
    <t>Sovereign Election</t>
  </si>
  <si>
    <t>Straight Talk About the Seeker Church Movement</t>
  </si>
  <si>
    <t>A Tale of Two Sons</t>
  </si>
  <si>
    <t>Two Paths, One Way</t>
  </si>
  <si>
    <t>Understanding the Doctrine of Inspiration</t>
  </si>
  <si>
    <t>Understanding the Pope and the Catholic System</t>
  </si>
  <si>
    <t>What Happens When a Christian Dies?</t>
  </si>
  <si>
    <t>What to Look for in a Pastor</t>
  </si>
  <si>
    <t>What's So Dangerous About the Emerging Church?</t>
  </si>
  <si>
    <t>Who Is Jesus--And Why Should I Care?</t>
  </si>
  <si>
    <t>Why Do Christians Doubt Their Salvation</t>
  </si>
  <si>
    <t>Why I Love the Church</t>
  </si>
  <si>
    <t>The Greatest Letter Ever Written</t>
  </si>
  <si>
    <t>MP3 DVD-ROM</t>
  </si>
  <si>
    <t>D. M. Lloyd-Jones on John 8:21-24</t>
  </si>
  <si>
    <t>The Banner of Truth Trust</t>
  </si>
  <si>
    <t>Two Ways to Live, Know &amp; Share the Gospel</t>
  </si>
  <si>
    <t>Table4</t>
  </si>
  <si>
    <t>SEARCH:</t>
  </si>
  <si>
    <t/>
  </si>
  <si>
    <t>If search shows up blank, make sure you scroll up to top of spreadsheet.</t>
  </si>
  <si>
    <t>Author 2.0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</si>
</sst>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24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</font>
    <font>
      <b/>
      <sz val="11"/>
      <color rgb="FFFFFFFF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8"/>
        <bgColor theme="8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92CDDC"/>
      </left>
      <right/>
      <top style="thin">
        <color rgb="FF92CDDC"/>
      </top>
      <bottom style="thin">
        <color rgb="FF92CDDC"/>
      </bottom>
      <diagonal/>
    </border>
    <border>
      <left/>
      <right/>
      <top style="thin">
        <color rgb="FF92CDDC"/>
      </top>
      <bottom style="thin">
        <color rgb="FF92CDDC"/>
      </bottom>
      <diagonal/>
    </border>
    <border>
      <left/>
      <right/>
      <top/>
      <bottom style="thin">
        <color rgb="FF92CDDC"/>
      </bottom>
      <diagonal/>
    </border>
    <border>
      <left/>
      <right style="thin">
        <color rgb="FF92CDDC"/>
      </right>
      <top style="thin">
        <color rgb="FF92CDDC"/>
      </top>
      <bottom style="thin">
        <color rgb="FF92CDDC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/>
    <xf numFmtId="14" fontId="2" fillId="0" borderId="0" xfId="0" applyNumberFormat="1" applyFont="1"/>
    <xf numFmtId="0" fontId="2" fillId="0" borderId="0" xfId="0" applyFont="1" applyAlignment="1">
      <alignment wrapText="1"/>
    </xf>
    <xf numFmtId="0" fontId="4" fillId="0" borderId="0" xfId="0" applyFont="1" applyAlignment="1">
      <alignment horizontal="right" vertical="center"/>
    </xf>
    <xf numFmtId="0" fontId="5" fillId="0" borderId="1" xfId="0" applyFont="1" applyBorder="1"/>
    <xf numFmtId="0" fontId="2" fillId="0" borderId="0" xfId="0" applyFont="1" applyAlignment="1">
      <alignment vertical="top" wrapText="1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5" fillId="0" borderId="0" xfId="0" applyFont="1"/>
    <xf numFmtId="14" fontId="5" fillId="0" borderId="0" xfId="0" applyNumberFormat="1" applyFont="1"/>
    <xf numFmtId="0" fontId="7" fillId="2" borderId="4" xfId="0" applyFont="1" applyFill="1" applyBorder="1" applyAlignment="1">
      <alignment horizontal="center" vertical="center"/>
    </xf>
    <xf numFmtId="0" fontId="1" fillId="0" borderId="1" xfId="0" applyFont="1" applyBorder="1"/>
  </cellXfs>
  <cellStyles count="1">
    <cellStyle name="Normal" xfId="0" builtinId="0"/>
  </cellStyles>
  <dxfs count="15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B7E1CD"/>
          <bgColor rgb="FFB7E1CD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theme="8"/>
          <bgColor theme="8"/>
        </patternFill>
      </fill>
    </dxf>
  </dxfs>
  <tableStyles count="1">
    <tableStyle name="Special Help Table-style" pivot="0" count="3" xr9:uid="{00000000-0011-0000-FFFF-FFFF00000000}">
      <tableStyleElement type="headerRow" dxfId="14"/>
      <tableStyleElement type="firstRowStripe" dxfId="13"/>
      <tableStyleElement type="secondRowStripe" dxfId="1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N1084">
  <tableColumns count="14">
    <tableColumn id="1" xr3:uid="{00000000-0010-0000-0000-000001000000}" name="Author"/>
    <tableColumn id="2" xr3:uid="{00000000-0010-0000-0000-000002000000}" name="Author 3.0">
      <calculatedColumnFormula array="1">_xlfn.IFS(AND(LEN('Special Help Table'!$A2)-(LEN(SUBSTITUTE('Special Help Table'!$A2,";","")))=0,LEN('Special Help Table'!$A2)-LEN(SUBSTITUTE('Special Help Table'!$A2,",",""))=1,LEN('Special Help Table'!$A2)-LEN(SUBSTITUTE('Special Help Table'!$A2,"and ",""))=0),MID('Special Help Table'!$A2&amp;" "&amp;'Special Help Table'!$A2,SEARCH(", ",'Special Help Table'!$A2)+1,LEN('Special Help Table'!$A2)),AND(LEN('Special Help Table'!$A2)-(LEN(SUBSTITUTE('Special Help Table'!$A2,";","")))=1,LEN('Special Help Table'!$A2)-LEN(SUBSTITUTE('Special Help Table'!$A2,"and ",""))=0),MID('Special Help Table'!$A2,SEARCH(",",'Special Help Table'!$A2)+1,(SEARCH(";",'Special Help Table'!$A2)-1)-SEARCH(",",'Special Help Table'!$A2))&amp;" "&amp;LEFT('Special Help Table'!$A2,SEARCH(",",'Special Help Table'!$A2)-1)&amp;";"&amp;RIGHT('Special Help Table'!$A2,LEN('Special Help Table'!$A2)-SEARCH(",",'Special Help Table'!$A2,SEARCH(";",'Special Help Table'!$A2)))&amp;" "&amp;MID('Special Help Table'!$A2,SEARCH("; ",'Special Help Table'!$A2)+2,SEARCH(",",'Special Help Table'!$A2,SEARCH(";",'Special Help Table'!$A2))-SEARCH(";",'Special Help Table'!$A2)-2),AND(LEN('Special Help Table'!$A2)-LEN(SUBSTITUTE('Special Help Table'!$A2,"and ",""))=0,LEN('Special Help Table'!$A2)-LEN(SUBSTITUTE('Special Help Table'!$A2,";",""))=0),'Special Help Table'!$A2,AND(LEN('Special Help Table'!$A2)-LEN(SUBSTITUTE('Special Help Table'!$A2,",","")=1),LEN('Special Help Table'!$A2)-LEN(SUBSTITUTE('Special Help Table'!$A2," ","")=20),LEN('Special Help Table'!$A2)-LEN(SUBSTITUTE('Special Help Table'!$A2," and",""))=0,LEN('Special Help Table'!$A2)-LEN(SUBSTITUTE('Special Help Table'!$A2,",","",FIND(" ",'Special Help Table'!$A2)+1))=0),RIGHT('Special Help Table'!$A2,LEN('Special Help Table'!$A2)-FIND(", ",'Special Help Table'!$A2))&amp;" "&amp;LEFT('Special Help Table'!$A2,FIND(",",'Special Help Table'!$A2)-1),AND(LEN('Special Help Table'!$A2)-LEN(SUBSTITUTE('Special Help Table'!$A2,"editor",""))=6,LEN('Special Help Table'!$A2)-LEN(SUBSTITUTE('Special Help Table'!$A2,"(",""))=0,LEN('Special Help Table'!$A2)-LEN(SUBSTITUTE('Special Help Table'!$A2,"and",""))=3,LEN('Special Help Table'!$A2)-LEN(SUBSTITUTE('Special Help Table'!$A2,",",""))=1,LEN('Special Help Table'!$A2)-LEN(SUBSTITUTE('Special Help Table'!$A2," ",""))=3),'Special Help Table'!$A2)</calculatedColumnFormula>
    </tableColumn>
    <tableColumn id="3" xr3:uid="{00000000-0010-0000-0000-000003000000}" name="Title"/>
    <tableColumn id="4" xr3:uid="{00000000-0010-0000-0000-000004000000}" name="Add'l Author/ Series/Special Section"/>
    <tableColumn id="5" xr3:uid="{00000000-0010-0000-0000-000005000000}" name="Medium"/>
    <tableColumn id="6" xr3:uid="{00000000-0010-0000-0000-000006000000}" name="Category"/>
    <tableColumn id="7" xr3:uid="{00000000-0010-0000-0000-000007000000}" name="New Category"/>
    <tableColumn id="8" xr3:uid="{00000000-0010-0000-0000-000008000000}" name="Sub Category"/>
    <tableColumn id="9" xr3:uid="{00000000-0010-0000-0000-000009000000}" name="New Sub Category"/>
    <tableColumn id="10" xr3:uid="{00000000-0010-0000-0000-00000A000000}" name="Tags"/>
    <tableColumn id="11" xr3:uid="{00000000-0010-0000-0000-00000B000000}" name="Date Added"/>
    <tableColumn id="12" xr3:uid="{00000000-0010-0000-0000-00000C000000}" name="Notes"/>
    <tableColumn id="13" xr3:uid="{00000000-0010-0000-0000-00000D000000}" name="Author/Speaker/Series"/>
    <tableColumn id="14" xr3:uid="{00000000-0010-0000-0000-00000E000000}" name="Name"/>
  </tableColumns>
  <tableStyleInfo name="Special Help Table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084"/>
  <sheetViews>
    <sheetView topLeftCell="A764" workbookViewId="0">
      <selection activeCell="B774" sqref="B774"/>
    </sheetView>
  </sheetViews>
  <sheetFormatPr defaultColWidth="14.453125" defaultRowHeight="15" customHeight="1" x14ac:dyDescent="0.35"/>
  <cols>
    <col min="1" max="2" width="41.7265625" customWidth="1"/>
    <col min="3" max="3" width="89" customWidth="1"/>
    <col min="4" max="4" width="40.453125" customWidth="1"/>
    <col min="5" max="5" width="14.26953125" customWidth="1"/>
    <col min="6" max="7" width="22.54296875" customWidth="1"/>
    <col min="8" max="8" width="14.81640625" customWidth="1"/>
    <col min="9" max="9" width="19.7265625" customWidth="1"/>
    <col min="10" max="10" width="48.54296875" customWidth="1"/>
    <col min="11" max="11" width="13.7265625" customWidth="1"/>
    <col min="12" max="12" width="60.54296875" customWidth="1"/>
    <col min="13" max="13" width="56.54296875" customWidth="1"/>
    <col min="14" max="14" width="8.54296875" customWidth="1"/>
  </cols>
  <sheetData>
    <row r="1" spans="1:14" ht="38.25" customHeight="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 ht="14.5" x14ac:dyDescent="0.35">
      <c r="A2" s="2" t="s">
        <v>14</v>
      </c>
      <c r="B2" s="2" t="str" cm="1">
        <f t="array" ref="B2">_xlfn.IFS(AND(LEN('Special Help Table'!$A2)-(LEN(SUBSTITUTE('Special Help Table'!$A2,";","")))=0,LEN('Special Help Table'!$A2)-LEN(SUBSTITUTE('Special Help Table'!$A2,",",""))=1,LEN('Special Help Table'!$A2)-LEN(SUBSTITUTE('Special Help Table'!$A2,"and ",""))=0),MID('Special Help Table'!$A2&amp;" "&amp;'Special Help Table'!$A2,SEARCH(", ",'Special Help Table'!$A2)+1,LEN('Special Help Table'!$A2)),AND(LEN('Special Help Table'!$A2)-(LEN(SUBSTITUTE('Special Help Table'!$A2,";","")))=1,LEN('Special Help Table'!$A2)-LEN(SUBSTITUTE('Special Help Table'!$A2,"and ",""))=0),MID('Special Help Table'!$A2,SEARCH(",",'Special Help Table'!$A2)+1,(SEARCH(";",'Special Help Table'!$A2)-1)-SEARCH(",",'Special Help Table'!$A2))&amp;" "&amp;LEFT('Special Help Table'!$A2,SEARCH(",",'Special Help Table'!$A2)-1)&amp;";"&amp;RIGHT('Special Help Table'!$A2,LEN('Special Help Table'!$A2)-SEARCH(",",'Special Help Table'!$A2,SEARCH(";",'Special Help Table'!$A2)))&amp;" "&amp;MID('Special Help Table'!$A2,SEARCH("; ",'Special Help Table'!$A2)+2,SEARCH(",",'Special Help Table'!$A2,SEARCH(";",'Special Help Table'!$A2))-SEARCH(";",'Special Help Table'!$A2)-2),AND(LEN('Special Help Table'!$A2)-LEN(SUBSTITUTE('Special Help Table'!$A2,"and ",""))=0,LEN('Special Help Table'!$A2)-LEN(SUBSTITUTE('Special Help Table'!$A2,";",""))=0),'Special Help Table'!$A2,AND(LEN('Special Help Table'!$A2)-LEN(SUBSTITUTE('Special Help Table'!$A2,",","")=1),LEN('Special Help Table'!$A2)-LEN(SUBSTITUTE('Special Help Table'!$A2," ","")=20),LEN('Special Help Table'!$A2)-LEN(SUBSTITUTE('Special Help Table'!$A2," and",""))=0,LEN('Special Help Table'!$A2)-LEN(SUBSTITUTE('Special Help Table'!$A2,",","",FIND(" ",'Special Help Table'!$A2)+1))=0),RIGHT('Special Help Table'!$A2,LEN('Special Help Table'!$A2)-FIND(", ",'Special Help Table'!$A2))&amp;" "&amp;LEFT('Special Help Table'!$A2,FIND(",",'Special Help Table'!$A2)-1),AND(LEN('Special Help Table'!$A2)-LEN(SUBSTITUTE('Special Help Table'!$A2,"editor",""))=6,LEN('Special Help Table'!$A2)-LEN(SUBSTITUTE('Special Help Table'!$A2,"(",""))=0,LEN('Special Help Table'!$A2)-LEN(SUBSTITUTE('Special Help Table'!$A2,"and",""))=3,LEN('Special Help Table'!$A2)-LEN(SUBSTITUTE('Special Help Table'!$A2,",",""))=1,LEN('Special Help Table'!$A2)-LEN(SUBSTITUTE('Special Help Table'!$A2," ",""))=3),'Special Help Table'!$A2)</f>
        <v xml:space="preserve"> Jay Adams</v>
      </c>
      <c r="C2" s="2" t="s">
        <v>15</v>
      </c>
      <c r="D2" s="2"/>
      <c r="E2" s="2" t="s">
        <v>16</v>
      </c>
      <c r="F2" s="2" t="s">
        <v>17</v>
      </c>
      <c r="G2" s="2"/>
      <c r="H2" s="2"/>
      <c r="I2" s="2"/>
      <c r="J2" s="2"/>
      <c r="K2" s="3">
        <v>40026</v>
      </c>
      <c r="L2" s="2"/>
      <c r="M2" s="2"/>
      <c r="N2" s="2" t="s">
        <v>18</v>
      </c>
    </row>
    <row r="3" spans="1:14" ht="14.5" x14ac:dyDescent="0.35">
      <c r="A3" s="2" t="s">
        <v>14</v>
      </c>
      <c r="B3" s="2" t="str" cm="1">
        <f t="array" ref="B3">_xlfn.IFS(AND(LEN('Special Help Table'!$A3)-(LEN(SUBSTITUTE('Special Help Table'!$A3,";","")))=0,LEN('Special Help Table'!$A3)-LEN(SUBSTITUTE('Special Help Table'!$A3,",",""))=1,LEN('Special Help Table'!$A3)-LEN(SUBSTITUTE('Special Help Table'!$A3,"and ",""))=0),MID('Special Help Table'!$A3&amp;" "&amp;'Special Help Table'!$A3,SEARCH(", ",'Special Help Table'!$A3)+1,LEN('Special Help Table'!$A3)),AND(LEN('Special Help Table'!$A3)-(LEN(SUBSTITUTE('Special Help Table'!$A3,";","")))=1,LEN('Special Help Table'!$A3)-LEN(SUBSTITUTE('Special Help Table'!$A3,"and ",""))=0),MID('Special Help Table'!$A3,SEARCH(",",'Special Help Table'!$A3)+1,(SEARCH(";",'Special Help Table'!$A3)-1)-SEARCH(",",'Special Help Table'!$A3))&amp;" "&amp;LEFT('Special Help Table'!$A3,SEARCH(",",'Special Help Table'!$A3)-1)&amp;";"&amp;RIGHT('Special Help Table'!$A3,LEN('Special Help Table'!$A3)-SEARCH(",",'Special Help Table'!$A3,SEARCH(";",'Special Help Table'!$A3)))&amp;" "&amp;MID('Special Help Table'!$A3,SEARCH("; ",'Special Help Table'!$A3)+2,SEARCH(",",'Special Help Table'!$A3,SEARCH(";",'Special Help Table'!$A3))-SEARCH(";",'Special Help Table'!$A3)-2),AND(LEN('Special Help Table'!$A3)-LEN(SUBSTITUTE('Special Help Table'!$A3,"and ",""))=0,LEN('Special Help Table'!$A3)-LEN(SUBSTITUTE('Special Help Table'!$A3,";",""))=0),'Special Help Table'!$A3,AND(LEN('Special Help Table'!$A3)-LEN(SUBSTITUTE('Special Help Table'!$A3,",","")=1),LEN('Special Help Table'!$A3)-LEN(SUBSTITUTE('Special Help Table'!$A3," ","")=20),LEN('Special Help Table'!$A3)-LEN(SUBSTITUTE('Special Help Table'!$A3," and",""))=0,LEN('Special Help Table'!$A3)-LEN(SUBSTITUTE('Special Help Table'!$A3,",","",FIND(" ",'Special Help Table'!$A3)+1))=0),RIGHT('Special Help Table'!$A3,LEN('Special Help Table'!$A3)-FIND(", ",'Special Help Table'!$A3))&amp;" "&amp;LEFT('Special Help Table'!$A3,FIND(",",'Special Help Table'!$A3)-1),AND(LEN('Special Help Table'!$A3)-LEN(SUBSTITUTE('Special Help Table'!$A3,"editor",""))=6,LEN('Special Help Table'!$A3)-LEN(SUBSTITUTE('Special Help Table'!$A3,"(",""))=0,LEN('Special Help Table'!$A3)-LEN(SUBSTITUTE('Special Help Table'!$A3,"and",""))=3,LEN('Special Help Table'!$A3)-LEN(SUBSTITUTE('Special Help Table'!$A3,",",""))=1,LEN('Special Help Table'!$A3)-LEN(SUBSTITUTE('Special Help Table'!$A3," ",""))=3),'Special Help Table'!$A3)</f>
        <v xml:space="preserve"> Jay Adams</v>
      </c>
      <c r="C3" s="4" t="s">
        <v>19</v>
      </c>
      <c r="D3" s="2"/>
      <c r="E3" s="2" t="s">
        <v>16</v>
      </c>
      <c r="F3" s="2" t="s">
        <v>20</v>
      </c>
      <c r="G3" s="2"/>
      <c r="H3" s="2"/>
      <c r="I3" s="2"/>
      <c r="J3" s="2"/>
      <c r="K3" s="3">
        <v>40026</v>
      </c>
      <c r="L3" s="2"/>
      <c r="M3" s="2"/>
      <c r="N3" s="2" t="s">
        <v>18</v>
      </c>
    </row>
    <row r="4" spans="1:14" ht="14.5" x14ac:dyDescent="0.35">
      <c r="A4" s="2" t="s">
        <v>14</v>
      </c>
      <c r="B4" s="2" t="str" cm="1">
        <f t="array" ref="B4">_xlfn.IFS(AND(LEN('Special Help Table'!$A4)-(LEN(SUBSTITUTE('Special Help Table'!$A4,";","")))=0,LEN('Special Help Table'!$A4)-LEN(SUBSTITUTE('Special Help Table'!$A4,",",""))=1,LEN('Special Help Table'!$A4)-LEN(SUBSTITUTE('Special Help Table'!$A4,"and ",""))=0),MID('Special Help Table'!$A4&amp;" "&amp;'Special Help Table'!$A4,SEARCH(", ",'Special Help Table'!$A4)+1,LEN('Special Help Table'!$A4)),AND(LEN('Special Help Table'!$A4)-(LEN(SUBSTITUTE('Special Help Table'!$A4,";","")))=1,LEN('Special Help Table'!$A4)-LEN(SUBSTITUTE('Special Help Table'!$A4,"and ",""))=0),MID('Special Help Table'!$A4,SEARCH(",",'Special Help Table'!$A4)+1,(SEARCH(";",'Special Help Table'!$A4)-1)-SEARCH(",",'Special Help Table'!$A4))&amp;" "&amp;LEFT('Special Help Table'!$A4,SEARCH(",",'Special Help Table'!$A4)-1)&amp;";"&amp;RIGHT('Special Help Table'!$A4,LEN('Special Help Table'!$A4)-SEARCH(",",'Special Help Table'!$A4,SEARCH(";",'Special Help Table'!$A4)))&amp;" "&amp;MID('Special Help Table'!$A4,SEARCH("; ",'Special Help Table'!$A4)+2,SEARCH(",",'Special Help Table'!$A4,SEARCH(";",'Special Help Table'!$A4))-SEARCH(";",'Special Help Table'!$A4)-2),AND(LEN('Special Help Table'!$A4)-LEN(SUBSTITUTE('Special Help Table'!$A4,"and ",""))=0,LEN('Special Help Table'!$A4)-LEN(SUBSTITUTE('Special Help Table'!$A4,";",""))=0),'Special Help Table'!$A4,AND(LEN('Special Help Table'!$A4)-LEN(SUBSTITUTE('Special Help Table'!$A4,",","")=1),LEN('Special Help Table'!$A4)-LEN(SUBSTITUTE('Special Help Table'!$A4," ","")=20),LEN('Special Help Table'!$A4)-LEN(SUBSTITUTE('Special Help Table'!$A4," and",""))=0,LEN('Special Help Table'!$A4)-LEN(SUBSTITUTE('Special Help Table'!$A4,",","",FIND(" ",'Special Help Table'!$A4)+1))=0),RIGHT('Special Help Table'!$A4,LEN('Special Help Table'!$A4)-FIND(", ",'Special Help Table'!$A4))&amp;" "&amp;LEFT('Special Help Table'!$A4,FIND(",",'Special Help Table'!$A4)-1),AND(LEN('Special Help Table'!$A4)-LEN(SUBSTITUTE('Special Help Table'!$A4,"editor",""))=6,LEN('Special Help Table'!$A4)-LEN(SUBSTITUTE('Special Help Table'!$A4,"(",""))=0,LEN('Special Help Table'!$A4)-LEN(SUBSTITUTE('Special Help Table'!$A4,"and",""))=3,LEN('Special Help Table'!$A4)-LEN(SUBSTITUTE('Special Help Table'!$A4,",",""))=1,LEN('Special Help Table'!$A4)-LEN(SUBSTITUTE('Special Help Table'!$A4," ",""))=3),'Special Help Table'!$A4)</f>
        <v xml:space="preserve"> Jay Adams</v>
      </c>
      <c r="C4" s="2" t="s">
        <v>21</v>
      </c>
      <c r="D4" s="2"/>
      <c r="E4" s="2" t="s">
        <v>16</v>
      </c>
      <c r="F4" s="2" t="s">
        <v>17</v>
      </c>
      <c r="G4" s="2"/>
      <c r="H4" s="2"/>
      <c r="I4" s="2"/>
      <c r="J4" s="2" t="s">
        <v>22</v>
      </c>
      <c r="K4" s="3">
        <v>40034</v>
      </c>
      <c r="L4" s="2"/>
      <c r="M4" s="2"/>
      <c r="N4" s="2" t="s">
        <v>18</v>
      </c>
    </row>
    <row r="5" spans="1:14" ht="14.5" x14ac:dyDescent="0.35">
      <c r="A5" s="2" t="s">
        <v>14</v>
      </c>
      <c r="B5" s="2" t="str" cm="1">
        <f t="array" ref="B5">_xlfn.IFS(AND(LEN('Special Help Table'!$A5)-(LEN(SUBSTITUTE('Special Help Table'!$A5,";","")))=0,LEN('Special Help Table'!$A5)-LEN(SUBSTITUTE('Special Help Table'!$A5,",",""))=1,LEN('Special Help Table'!$A5)-LEN(SUBSTITUTE('Special Help Table'!$A5,"and ",""))=0),MID('Special Help Table'!$A5&amp;" "&amp;'Special Help Table'!$A5,SEARCH(", ",'Special Help Table'!$A5)+1,LEN('Special Help Table'!$A5)),AND(LEN('Special Help Table'!$A5)-(LEN(SUBSTITUTE('Special Help Table'!$A5,";","")))=1,LEN('Special Help Table'!$A5)-LEN(SUBSTITUTE('Special Help Table'!$A5,"and ",""))=0),MID('Special Help Table'!$A5,SEARCH(",",'Special Help Table'!$A5)+1,(SEARCH(";",'Special Help Table'!$A5)-1)-SEARCH(",",'Special Help Table'!$A5))&amp;" "&amp;LEFT('Special Help Table'!$A5,SEARCH(",",'Special Help Table'!$A5)-1)&amp;";"&amp;RIGHT('Special Help Table'!$A5,LEN('Special Help Table'!$A5)-SEARCH(",",'Special Help Table'!$A5,SEARCH(";",'Special Help Table'!$A5)))&amp;" "&amp;MID('Special Help Table'!$A5,SEARCH("; ",'Special Help Table'!$A5)+2,SEARCH(",",'Special Help Table'!$A5,SEARCH(";",'Special Help Table'!$A5))-SEARCH(";",'Special Help Table'!$A5)-2),AND(LEN('Special Help Table'!$A5)-LEN(SUBSTITUTE('Special Help Table'!$A5,"and ",""))=0,LEN('Special Help Table'!$A5)-LEN(SUBSTITUTE('Special Help Table'!$A5,";",""))=0),'Special Help Table'!$A5,AND(LEN('Special Help Table'!$A5)-LEN(SUBSTITUTE('Special Help Table'!$A5,",","")=1),LEN('Special Help Table'!$A5)-LEN(SUBSTITUTE('Special Help Table'!$A5," ","")=20),LEN('Special Help Table'!$A5)-LEN(SUBSTITUTE('Special Help Table'!$A5," and",""))=0,LEN('Special Help Table'!$A5)-LEN(SUBSTITUTE('Special Help Table'!$A5,",","",FIND(" ",'Special Help Table'!$A5)+1))=0),RIGHT('Special Help Table'!$A5,LEN('Special Help Table'!$A5)-FIND(", ",'Special Help Table'!$A5))&amp;" "&amp;LEFT('Special Help Table'!$A5,FIND(",",'Special Help Table'!$A5)-1),AND(LEN('Special Help Table'!$A5)-LEN(SUBSTITUTE('Special Help Table'!$A5,"editor",""))=6,LEN('Special Help Table'!$A5)-LEN(SUBSTITUTE('Special Help Table'!$A5,"(",""))=0,LEN('Special Help Table'!$A5)-LEN(SUBSTITUTE('Special Help Table'!$A5,"and",""))=3,LEN('Special Help Table'!$A5)-LEN(SUBSTITUTE('Special Help Table'!$A5,",",""))=1,LEN('Special Help Table'!$A5)-LEN(SUBSTITUTE('Special Help Table'!$A5," ",""))=3),'Special Help Table'!$A5)</f>
        <v xml:space="preserve"> Jay Adams</v>
      </c>
      <c r="C5" s="4" t="s">
        <v>23</v>
      </c>
      <c r="D5" s="2"/>
      <c r="E5" s="2" t="s">
        <v>16</v>
      </c>
      <c r="F5" s="2" t="s">
        <v>17</v>
      </c>
      <c r="G5" s="2"/>
      <c r="H5" s="2"/>
      <c r="I5" s="2"/>
      <c r="J5" s="2" t="s">
        <v>24</v>
      </c>
      <c r="K5" s="3">
        <v>40034</v>
      </c>
      <c r="L5" s="2"/>
      <c r="M5" s="2"/>
      <c r="N5" s="2" t="s">
        <v>18</v>
      </c>
    </row>
    <row r="6" spans="1:14" ht="14.5" x14ac:dyDescent="0.35">
      <c r="A6" s="2" t="s">
        <v>14</v>
      </c>
      <c r="B6" s="2" t="str" cm="1">
        <f t="array" ref="B6">_xlfn.IFS(AND(LEN('Special Help Table'!$A6)-(LEN(SUBSTITUTE('Special Help Table'!$A6,";","")))=0,LEN('Special Help Table'!$A6)-LEN(SUBSTITUTE('Special Help Table'!$A6,",",""))=1,LEN('Special Help Table'!$A6)-LEN(SUBSTITUTE('Special Help Table'!$A6,"and ",""))=0),MID('Special Help Table'!$A6&amp;" "&amp;'Special Help Table'!$A6,SEARCH(", ",'Special Help Table'!$A6)+1,LEN('Special Help Table'!$A6)),AND(LEN('Special Help Table'!$A6)-(LEN(SUBSTITUTE('Special Help Table'!$A6,";","")))=1,LEN('Special Help Table'!$A6)-LEN(SUBSTITUTE('Special Help Table'!$A6,"and ",""))=0),MID('Special Help Table'!$A6,SEARCH(",",'Special Help Table'!$A6)+1,(SEARCH(";",'Special Help Table'!$A6)-1)-SEARCH(",",'Special Help Table'!$A6))&amp;" "&amp;LEFT('Special Help Table'!$A6,SEARCH(",",'Special Help Table'!$A6)-1)&amp;";"&amp;RIGHT('Special Help Table'!$A6,LEN('Special Help Table'!$A6)-SEARCH(",",'Special Help Table'!$A6,SEARCH(";",'Special Help Table'!$A6)))&amp;" "&amp;MID('Special Help Table'!$A6,SEARCH("; ",'Special Help Table'!$A6)+2,SEARCH(",",'Special Help Table'!$A6,SEARCH(";",'Special Help Table'!$A6))-SEARCH(";",'Special Help Table'!$A6)-2),AND(LEN('Special Help Table'!$A6)-LEN(SUBSTITUTE('Special Help Table'!$A6,"and ",""))=0,LEN('Special Help Table'!$A6)-LEN(SUBSTITUTE('Special Help Table'!$A6,";",""))=0),'Special Help Table'!$A6,AND(LEN('Special Help Table'!$A6)-LEN(SUBSTITUTE('Special Help Table'!$A6,",","")=1),LEN('Special Help Table'!$A6)-LEN(SUBSTITUTE('Special Help Table'!$A6," ","")=20),LEN('Special Help Table'!$A6)-LEN(SUBSTITUTE('Special Help Table'!$A6," and",""))=0,LEN('Special Help Table'!$A6)-LEN(SUBSTITUTE('Special Help Table'!$A6,",","",FIND(" ",'Special Help Table'!$A6)+1))=0),RIGHT('Special Help Table'!$A6,LEN('Special Help Table'!$A6)-FIND(", ",'Special Help Table'!$A6))&amp;" "&amp;LEFT('Special Help Table'!$A6,FIND(",",'Special Help Table'!$A6)-1),AND(LEN('Special Help Table'!$A6)-LEN(SUBSTITUTE('Special Help Table'!$A6,"editor",""))=6,LEN('Special Help Table'!$A6)-LEN(SUBSTITUTE('Special Help Table'!$A6,"(",""))=0,LEN('Special Help Table'!$A6)-LEN(SUBSTITUTE('Special Help Table'!$A6,"and",""))=3,LEN('Special Help Table'!$A6)-LEN(SUBSTITUTE('Special Help Table'!$A6,",",""))=1,LEN('Special Help Table'!$A6)-LEN(SUBSTITUTE('Special Help Table'!$A6," ",""))=3),'Special Help Table'!$A6)</f>
        <v xml:space="preserve"> Jay Adams</v>
      </c>
      <c r="C6" s="4" t="s">
        <v>25</v>
      </c>
      <c r="D6" s="2"/>
      <c r="E6" s="2" t="s">
        <v>16</v>
      </c>
      <c r="F6" s="2" t="s">
        <v>17</v>
      </c>
      <c r="G6" s="2"/>
      <c r="H6" s="2"/>
      <c r="I6" s="2"/>
      <c r="J6" s="2" t="s">
        <v>22</v>
      </c>
      <c r="K6" s="3">
        <v>40034</v>
      </c>
      <c r="L6" s="2"/>
      <c r="M6" s="2"/>
      <c r="N6" s="2" t="s">
        <v>18</v>
      </c>
    </row>
    <row r="7" spans="1:14" ht="14.5" x14ac:dyDescent="0.35">
      <c r="A7" s="2" t="s">
        <v>26</v>
      </c>
      <c r="B7" s="2" t="str" cm="1">
        <f t="array" ref="B7">_xlfn.IFS(AND(LEN('Special Help Table'!$A7)-(LEN(SUBSTITUTE('Special Help Table'!$A7,";","")))=0,LEN('Special Help Table'!$A7)-LEN(SUBSTITUTE('Special Help Table'!$A7,",",""))=1,LEN('Special Help Table'!$A7)-LEN(SUBSTITUTE('Special Help Table'!$A7,"and ",""))=0),MID('Special Help Table'!$A7&amp;" "&amp;'Special Help Table'!$A7,SEARCH(", ",'Special Help Table'!$A7)+1,LEN('Special Help Table'!$A7)),AND(LEN('Special Help Table'!$A7)-(LEN(SUBSTITUTE('Special Help Table'!$A7,";","")))=1,LEN('Special Help Table'!$A7)-LEN(SUBSTITUTE('Special Help Table'!$A7,"and ",""))=0),MID('Special Help Table'!$A7,SEARCH(",",'Special Help Table'!$A7)+1,(SEARCH(";",'Special Help Table'!$A7)-1)-SEARCH(",",'Special Help Table'!$A7))&amp;" "&amp;LEFT('Special Help Table'!$A7,SEARCH(",",'Special Help Table'!$A7)-1)&amp;";"&amp;RIGHT('Special Help Table'!$A7,LEN('Special Help Table'!$A7)-SEARCH(",",'Special Help Table'!$A7,SEARCH(";",'Special Help Table'!$A7)))&amp;" "&amp;MID('Special Help Table'!$A7,SEARCH("; ",'Special Help Table'!$A7)+2,SEARCH(",",'Special Help Table'!$A7,SEARCH(";",'Special Help Table'!$A7))-SEARCH(";",'Special Help Table'!$A7)-2),AND(LEN('Special Help Table'!$A7)-LEN(SUBSTITUTE('Special Help Table'!$A7,"and ",""))=0,LEN('Special Help Table'!$A7)-LEN(SUBSTITUTE('Special Help Table'!$A7,";",""))=0),'Special Help Table'!$A7,AND(LEN('Special Help Table'!$A7)-LEN(SUBSTITUTE('Special Help Table'!$A7,",","")=1),LEN('Special Help Table'!$A7)-LEN(SUBSTITUTE('Special Help Table'!$A7," ","")=20),LEN('Special Help Table'!$A7)-LEN(SUBSTITUTE('Special Help Table'!$A7," and",""))=0,LEN('Special Help Table'!$A7)-LEN(SUBSTITUTE('Special Help Table'!$A7,",","",FIND(" ",'Special Help Table'!$A7)+1))=0),RIGHT('Special Help Table'!$A7,LEN('Special Help Table'!$A7)-FIND(", ",'Special Help Table'!$A7))&amp;" "&amp;LEFT('Special Help Table'!$A7,FIND(",",'Special Help Table'!$A7)-1),AND(LEN('Special Help Table'!$A7)-LEN(SUBSTITUTE('Special Help Table'!$A7,"editor",""))=6,LEN('Special Help Table'!$A7)-LEN(SUBSTITUTE('Special Help Table'!$A7,"(",""))=0,LEN('Special Help Table'!$A7)-LEN(SUBSTITUTE('Special Help Table'!$A7,"and",""))=3,LEN('Special Help Table'!$A7)-LEN(SUBSTITUTE('Special Help Table'!$A7,",",""))=1,LEN('Special Help Table'!$A7)-LEN(SUBSTITUTE('Special Help Table'!$A7," ",""))=3),'Special Help Table'!$A7)</f>
        <v xml:space="preserve"> T. Desmond Alexander</v>
      </c>
      <c r="C7" s="4" t="s">
        <v>27</v>
      </c>
      <c r="D7" s="2"/>
      <c r="E7" s="2" t="s">
        <v>16</v>
      </c>
      <c r="F7" s="2" t="s">
        <v>28</v>
      </c>
      <c r="G7" s="2"/>
      <c r="H7" s="2"/>
      <c r="I7" s="2"/>
      <c r="J7" s="2"/>
      <c r="K7" s="3"/>
      <c r="L7" s="2"/>
      <c r="M7" s="2"/>
      <c r="N7" s="2" t="s">
        <v>18</v>
      </c>
    </row>
    <row r="8" spans="1:14" ht="14.5" x14ac:dyDescent="0.35">
      <c r="A8" s="2" t="s">
        <v>29</v>
      </c>
      <c r="B8" s="2" t="str" cm="1">
        <f t="array" ref="B8">_xlfn.IFS(AND(LEN('Special Help Table'!$A8)-(LEN(SUBSTITUTE('Special Help Table'!$A8,";","")))=0,LEN('Special Help Table'!$A8)-LEN(SUBSTITUTE('Special Help Table'!$A8,",",""))=1,LEN('Special Help Table'!$A8)-LEN(SUBSTITUTE('Special Help Table'!$A8,"and ",""))=0),MID('Special Help Table'!$A8&amp;" "&amp;'Special Help Table'!$A8,SEARCH(", ",'Special Help Table'!$A8)+1,LEN('Special Help Table'!$A8)),AND(LEN('Special Help Table'!$A8)-(LEN(SUBSTITUTE('Special Help Table'!$A8,";","")))=1,LEN('Special Help Table'!$A8)-LEN(SUBSTITUTE('Special Help Table'!$A8,"and ",""))=0),MID('Special Help Table'!$A8,SEARCH(",",'Special Help Table'!$A8)+1,(SEARCH(";",'Special Help Table'!$A8)-1)-SEARCH(",",'Special Help Table'!$A8))&amp;" "&amp;LEFT('Special Help Table'!$A8,SEARCH(",",'Special Help Table'!$A8)-1)&amp;";"&amp;RIGHT('Special Help Table'!$A8,LEN('Special Help Table'!$A8)-SEARCH(",",'Special Help Table'!$A8,SEARCH(";",'Special Help Table'!$A8)))&amp;" "&amp;MID('Special Help Table'!$A8,SEARCH("; ",'Special Help Table'!$A8)+2,SEARCH(",",'Special Help Table'!$A8,SEARCH(";",'Special Help Table'!$A8))-SEARCH(";",'Special Help Table'!$A8)-2),AND(LEN('Special Help Table'!$A8)-LEN(SUBSTITUTE('Special Help Table'!$A8,"and ",""))=0,LEN('Special Help Table'!$A8)-LEN(SUBSTITUTE('Special Help Table'!$A8,";",""))=0),'Special Help Table'!$A8,AND(LEN('Special Help Table'!$A8)-LEN(SUBSTITUTE('Special Help Table'!$A8,",","")=1),LEN('Special Help Table'!$A8)-LEN(SUBSTITUTE('Special Help Table'!$A8," ","")=20),LEN('Special Help Table'!$A8)-LEN(SUBSTITUTE('Special Help Table'!$A8," and",""))=0,LEN('Special Help Table'!$A8)-LEN(SUBSTITUTE('Special Help Table'!$A8,",","",FIND(" ",'Special Help Table'!$A8)+1))=0),RIGHT('Special Help Table'!$A8,LEN('Special Help Table'!$A8)-FIND(", ",'Special Help Table'!$A8))&amp;" "&amp;LEFT('Special Help Table'!$A8,FIND(",",'Special Help Table'!$A8)-1),AND(LEN('Special Help Table'!$A8)-LEN(SUBSTITUTE('Special Help Table'!$A8,"editor",""))=6,LEN('Special Help Table'!$A8)-LEN(SUBSTITUTE('Special Help Table'!$A8,"(",""))=0,LEN('Special Help Table'!$A8)-LEN(SUBSTITUTE('Special Help Table'!$A8,"and",""))=3,LEN('Special Help Table'!$A8)-LEN(SUBSTITUTE('Special Help Table'!$A8,",",""))=1,LEN('Special Help Table'!$A8)-LEN(SUBSTITUTE('Special Help Table'!$A8," ",""))=3),'Special Help Table'!$A8)</f>
        <v xml:space="preserve"> Sam Allberry</v>
      </c>
      <c r="C8" s="4" t="s">
        <v>30</v>
      </c>
      <c r="D8" s="2"/>
      <c r="E8" s="2" t="s">
        <v>16</v>
      </c>
      <c r="F8" s="2" t="s">
        <v>28</v>
      </c>
      <c r="G8" s="2"/>
      <c r="H8" s="2"/>
      <c r="I8" s="2"/>
      <c r="J8" s="2" t="s">
        <v>31</v>
      </c>
      <c r="K8" s="3">
        <v>41560</v>
      </c>
      <c r="L8" s="2"/>
      <c r="M8" s="2"/>
      <c r="N8" s="2" t="s">
        <v>18</v>
      </c>
    </row>
    <row r="9" spans="1:14" ht="14.5" x14ac:dyDescent="0.35">
      <c r="A9" s="2" t="s">
        <v>29</v>
      </c>
      <c r="B9" s="2" t="str" cm="1">
        <f t="array" ref="B9">_xlfn.IFS(AND(LEN('Special Help Table'!$A9)-(LEN(SUBSTITUTE('Special Help Table'!$A9,";","")))=0,LEN('Special Help Table'!$A9)-LEN(SUBSTITUTE('Special Help Table'!$A9,",",""))=1,LEN('Special Help Table'!$A9)-LEN(SUBSTITUTE('Special Help Table'!$A9,"and ",""))=0),MID('Special Help Table'!$A9&amp;" "&amp;'Special Help Table'!$A9,SEARCH(", ",'Special Help Table'!$A9)+1,LEN('Special Help Table'!$A9)),AND(LEN('Special Help Table'!$A9)-(LEN(SUBSTITUTE('Special Help Table'!$A9,";","")))=1,LEN('Special Help Table'!$A9)-LEN(SUBSTITUTE('Special Help Table'!$A9,"and ",""))=0),MID('Special Help Table'!$A9,SEARCH(",",'Special Help Table'!$A9)+1,(SEARCH(";",'Special Help Table'!$A9)-1)-SEARCH(",",'Special Help Table'!$A9))&amp;" "&amp;LEFT('Special Help Table'!$A9,SEARCH(",",'Special Help Table'!$A9)-1)&amp;";"&amp;RIGHT('Special Help Table'!$A9,LEN('Special Help Table'!$A9)-SEARCH(",",'Special Help Table'!$A9,SEARCH(";",'Special Help Table'!$A9)))&amp;" "&amp;MID('Special Help Table'!$A9,SEARCH("; ",'Special Help Table'!$A9)+2,SEARCH(",",'Special Help Table'!$A9,SEARCH(";",'Special Help Table'!$A9))-SEARCH(";",'Special Help Table'!$A9)-2),AND(LEN('Special Help Table'!$A9)-LEN(SUBSTITUTE('Special Help Table'!$A9,"and ",""))=0,LEN('Special Help Table'!$A9)-LEN(SUBSTITUTE('Special Help Table'!$A9,";",""))=0),'Special Help Table'!$A9,AND(LEN('Special Help Table'!$A9)-LEN(SUBSTITUTE('Special Help Table'!$A9,",","")=1),LEN('Special Help Table'!$A9)-LEN(SUBSTITUTE('Special Help Table'!$A9," ","")=20),LEN('Special Help Table'!$A9)-LEN(SUBSTITUTE('Special Help Table'!$A9," and",""))=0,LEN('Special Help Table'!$A9)-LEN(SUBSTITUTE('Special Help Table'!$A9,",","",FIND(" ",'Special Help Table'!$A9)+1))=0),RIGHT('Special Help Table'!$A9,LEN('Special Help Table'!$A9)-FIND(", ",'Special Help Table'!$A9))&amp;" "&amp;LEFT('Special Help Table'!$A9,FIND(",",'Special Help Table'!$A9)-1),AND(LEN('Special Help Table'!$A9)-LEN(SUBSTITUTE('Special Help Table'!$A9,"editor",""))=6,LEN('Special Help Table'!$A9)-LEN(SUBSTITUTE('Special Help Table'!$A9,"(",""))=0,LEN('Special Help Table'!$A9)-LEN(SUBSTITUTE('Special Help Table'!$A9,"and",""))=3,LEN('Special Help Table'!$A9)-LEN(SUBSTITUTE('Special Help Table'!$A9,",",""))=1,LEN('Special Help Table'!$A9)-LEN(SUBSTITUTE('Special Help Table'!$A9," ",""))=3),'Special Help Table'!$A9)</f>
        <v xml:space="preserve"> Sam Allberry</v>
      </c>
      <c r="C9" s="4" t="s">
        <v>32</v>
      </c>
      <c r="D9" s="2"/>
      <c r="E9" s="2" t="s">
        <v>16</v>
      </c>
      <c r="F9" s="2" t="s">
        <v>33</v>
      </c>
      <c r="G9" s="2"/>
      <c r="H9" s="2"/>
      <c r="I9" s="2"/>
      <c r="J9" s="2"/>
      <c r="K9" s="3"/>
      <c r="L9" s="2"/>
      <c r="M9" s="2"/>
      <c r="N9" s="2" t="s">
        <v>18</v>
      </c>
    </row>
    <row r="10" spans="1:14" ht="14.5" x14ac:dyDescent="0.35">
      <c r="A10" s="2" t="s">
        <v>34</v>
      </c>
      <c r="B10" s="2" t="str" cm="1">
        <f t="array" ref="B10">_xlfn.IFS(AND(LEN('Special Help Table'!$A10)-(LEN(SUBSTITUTE('Special Help Table'!$A10,";","")))=0,LEN('Special Help Table'!$A10)-LEN(SUBSTITUTE('Special Help Table'!$A10,",",""))=1,LEN('Special Help Table'!$A10)-LEN(SUBSTITUTE('Special Help Table'!$A10,"and ",""))=0),MID('Special Help Table'!$A10&amp;" "&amp;'Special Help Table'!$A10,SEARCH(", ",'Special Help Table'!$A10)+1,LEN('Special Help Table'!$A10)),AND(LEN('Special Help Table'!$A10)-(LEN(SUBSTITUTE('Special Help Table'!$A10,";","")))=1,LEN('Special Help Table'!$A10)-LEN(SUBSTITUTE('Special Help Table'!$A10,"and ",""))=0),MID('Special Help Table'!$A10,SEARCH(",",'Special Help Table'!$A10)+1,(SEARCH(";",'Special Help Table'!$A10)-1)-SEARCH(",",'Special Help Table'!$A10))&amp;" "&amp;LEFT('Special Help Table'!$A10,SEARCH(",",'Special Help Table'!$A10)-1)&amp;";"&amp;RIGHT('Special Help Table'!$A10,LEN('Special Help Table'!$A10)-SEARCH(",",'Special Help Table'!$A10,SEARCH(";",'Special Help Table'!$A10)))&amp;" "&amp;MID('Special Help Table'!$A10,SEARCH("; ",'Special Help Table'!$A10)+2,SEARCH(",",'Special Help Table'!$A10,SEARCH(";",'Special Help Table'!$A10))-SEARCH(";",'Special Help Table'!$A10)-2),AND(LEN('Special Help Table'!$A10)-LEN(SUBSTITUTE('Special Help Table'!$A10,"and ",""))=0,LEN('Special Help Table'!$A10)-LEN(SUBSTITUTE('Special Help Table'!$A10,";",""))=0),'Special Help Table'!$A10,AND(LEN('Special Help Table'!$A10)-LEN(SUBSTITUTE('Special Help Table'!$A10,",","")=1),LEN('Special Help Table'!$A10)-LEN(SUBSTITUTE('Special Help Table'!$A10," ","")=20),LEN('Special Help Table'!$A10)-LEN(SUBSTITUTE('Special Help Table'!$A10," and",""))=0,LEN('Special Help Table'!$A10)-LEN(SUBSTITUTE('Special Help Table'!$A10,",","",FIND(" ",'Special Help Table'!$A10)+1))=0),RIGHT('Special Help Table'!$A10,LEN('Special Help Table'!$A10)-FIND(", ",'Special Help Table'!$A10))&amp;" "&amp;LEFT('Special Help Table'!$A10,FIND(",",'Special Help Table'!$A10)-1),AND(LEN('Special Help Table'!$A10)-LEN(SUBSTITUTE('Special Help Table'!$A10,"editor",""))=6,LEN('Special Help Table'!$A10)-LEN(SUBSTITUTE('Special Help Table'!$A10,"(",""))=0,LEN('Special Help Table'!$A10)-LEN(SUBSTITUTE('Special Help Table'!$A10,"and",""))=3,LEN('Special Help Table'!$A10)-LEN(SUBSTITUTE('Special Help Table'!$A10,",",""))=1,LEN('Special Help Table'!$A10)-LEN(SUBSTITUTE('Special Help Table'!$A10," ",""))=3),'Special Help Table'!$A10)</f>
        <v xml:space="preserve"> Jonty Allcock</v>
      </c>
      <c r="C10" s="4" t="s">
        <v>35</v>
      </c>
      <c r="D10" s="2"/>
      <c r="E10" s="2" t="s">
        <v>16</v>
      </c>
      <c r="F10" s="2" t="s">
        <v>36</v>
      </c>
      <c r="G10" s="2"/>
      <c r="H10" s="2"/>
      <c r="I10" s="2"/>
      <c r="J10" s="2"/>
      <c r="K10" s="3">
        <v>43704</v>
      </c>
      <c r="L10" s="2"/>
      <c r="M10" s="2"/>
      <c r="N10" s="2" t="s">
        <v>18</v>
      </c>
    </row>
    <row r="11" spans="1:14" ht="14.5" x14ac:dyDescent="0.35">
      <c r="A11" s="2" t="s">
        <v>37</v>
      </c>
      <c r="B11" s="2" t="str" cm="1">
        <f t="array" ref="B11">_xlfn.IFS(AND(LEN('Special Help Table'!$A11)-(LEN(SUBSTITUTE('Special Help Table'!$A11,";","")))=0,LEN('Special Help Table'!$A11)-LEN(SUBSTITUTE('Special Help Table'!$A11,",",""))=1,LEN('Special Help Table'!$A11)-LEN(SUBSTITUTE('Special Help Table'!$A11,"and ",""))=0),MID('Special Help Table'!$A11&amp;" "&amp;'Special Help Table'!$A11,SEARCH(", ",'Special Help Table'!$A11)+1,LEN('Special Help Table'!$A11)),AND(LEN('Special Help Table'!$A11)-(LEN(SUBSTITUTE('Special Help Table'!$A11,";","")))=1,LEN('Special Help Table'!$A11)-LEN(SUBSTITUTE('Special Help Table'!$A11,"and ",""))=0),MID('Special Help Table'!$A11,SEARCH(",",'Special Help Table'!$A11)+1,(SEARCH(";",'Special Help Table'!$A11)-1)-SEARCH(",",'Special Help Table'!$A11))&amp;" "&amp;LEFT('Special Help Table'!$A11,SEARCH(",",'Special Help Table'!$A11)-1)&amp;";"&amp;RIGHT('Special Help Table'!$A11,LEN('Special Help Table'!$A11)-SEARCH(",",'Special Help Table'!$A11,SEARCH(";",'Special Help Table'!$A11)))&amp;" "&amp;MID('Special Help Table'!$A11,SEARCH("; ",'Special Help Table'!$A11)+2,SEARCH(",",'Special Help Table'!$A11,SEARCH(";",'Special Help Table'!$A11))-SEARCH(";",'Special Help Table'!$A11)-2),AND(LEN('Special Help Table'!$A11)-LEN(SUBSTITUTE('Special Help Table'!$A11,"and ",""))=0,LEN('Special Help Table'!$A11)-LEN(SUBSTITUTE('Special Help Table'!$A11,";",""))=0),'Special Help Table'!$A11,AND(LEN('Special Help Table'!$A11)-LEN(SUBSTITUTE('Special Help Table'!$A11,",","")=1),LEN('Special Help Table'!$A11)-LEN(SUBSTITUTE('Special Help Table'!$A11," ","")=20),LEN('Special Help Table'!$A11)-LEN(SUBSTITUTE('Special Help Table'!$A11," and",""))=0,LEN('Special Help Table'!$A11)-LEN(SUBSTITUTE('Special Help Table'!$A11,",","",FIND(" ",'Special Help Table'!$A11)+1))=0),RIGHT('Special Help Table'!$A11,LEN('Special Help Table'!$A11)-FIND(", ",'Special Help Table'!$A11))&amp;" "&amp;LEFT('Special Help Table'!$A11,FIND(",",'Special Help Table'!$A11)-1),AND(LEN('Special Help Table'!$A11)-LEN(SUBSTITUTE('Special Help Table'!$A11,"editor",""))=6,LEN('Special Help Table'!$A11)-LEN(SUBSTITUTE('Special Help Table'!$A11,"(",""))=0,LEN('Special Help Table'!$A11)-LEN(SUBSTITUTE('Special Help Table'!$A11,"and",""))=3,LEN('Special Help Table'!$A11)-LEN(SUBSTITUTE('Special Help Table'!$A11,",",""))=1,LEN('Special Help Table'!$A11)-LEN(SUBSTITUTE('Special Help Table'!$A11," ",""))=3),'Special Help Table'!$A11)</f>
        <v xml:space="preserve"> Courtney Anderson</v>
      </c>
      <c r="C11" s="4" t="s">
        <v>38</v>
      </c>
      <c r="D11" s="2"/>
      <c r="E11" s="2" t="s">
        <v>16</v>
      </c>
      <c r="F11" s="2" t="s">
        <v>39</v>
      </c>
      <c r="G11" s="2"/>
      <c r="H11" s="2"/>
      <c r="I11" s="2"/>
      <c r="J11" s="2"/>
      <c r="K11" s="3">
        <v>40034</v>
      </c>
      <c r="L11" s="2"/>
      <c r="M11" s="2"/>
      <c r="N11" s="2" t="s">
        <v>18</v>
      </c>
    </row>
    <row r="12" spans="1:14" ht="14.5" x14ac:dyDescent="0.35">
      <c r="A12" s="2" t="s">
        <v>40</v>
      </c>
      <c r="B12" s="2" t="str" cm="1">
        <f t="array" ref="B12">_xlfn.IFS(AND(LEN('Special Help Table'!$A12)-(LEN(SUBSTITUTE('Special Help Table'!$A12,";","")))=0,LEN('Special Help Table'!$A12)-LEN(SUBSTITUTE('Special Help Table'!$A12,",",""))=1,LEN('Special Help Table'!$A12)-LEN(SUBSTITUTE('Special Help Table'!$A12,"and ",""))=0),MID('Special Help Table'!$A12&amp;" "&amp;'Special Help Table'!$A12,SEARCH(", ",'Special Help Table'!$A12)+1,LEN('Special Help Table'!$A12)),AND(LEN('Special Help Table'!$A12)-(LEN(SUBSTITUTE('Special Help Table'!$A12,";","")))=1,LEN('Special Help Table'!$A12)-LEN(SUBSTITUTE('Special Help Table'!$A12,"and ",""))=0),MID('Special Help Table'!$A12,SEARCH(",",'Special Help Table'!$A12)+1,(SEARCH(";",'Special Help Table'!$A12)-1)-SEARCH(",",'Special Help Table'!$A12))&amp;" "&amp;LEFT('Special Help Table'!$A12,SEARCH(",",'Special Help Table'!$A12)-1)&amp;";"&amp;RIGHT('Special Help Table'!$A12,LEN('Special Help Table'!$A12)-SEARCH(",",'Special Help Table'!$A12,SEARCH(";",'Special Help Table'!$A12)))&amp;" "&amp;MID('Special Help Table'!$A12,SEARCH("; ",'Special Help Table'!$A12)+2,SEARCH(",",'Special Help Table'!$A12,SEARCH(";",'Special Help Table'!$A12))-SEARCH(";",'Special Help Table'!$A12)-2),AND(LEN('Special Help Table'!$A12)-LEN(SUBSTITUTE('Special Help Table'!$A12,"and ",""))=0,LEN('Special Help Table'!$A12)-LEN(SUBSTITUTE('Special Help Table'!$A12,";",""))=0),'Special Help Table'!$A12,AND(LEN('Special Help Table'!$A12)-LEN(SUBSTITUTE('Special Help Table'!$A12,",","")=1),LEN('Special Help Table'!$A12)-LEN(SUBSTITUTE('Special Help Table'!$A12," ","")=20),LEN('Special Help Table'!$A12)-LEN(SUBSTITUTE('Special Help Table'!$A12," and",""))=0,LEN('Special Help Table'!$A12)-LEN(SUBSTITUTE('Special Help Table'!$A12,",","",FIND(" ",'Special Help Table'!$A12)+1))=0),RIGHT('Special Help Table'!$A12,LEN('Special Help Table'!$A12)-FIND(", ",'Special Help Table'!$A12))&amp;" "&amp;LEFT('Special Help Table'!$A12,FIND(",",'Special Help Table'!$A12)-1),AND(LEN('Special Help Table'!$A12)-LEN(SUBSTITUTE('Special Help Table'!$A12,"editor",""))=6,LEN('Special Help Table'!$A12)-LEN(SUBSTITUTE('Special Help Table'!$A12,"(",""))=0,LEN('Special Help Table'!$A12)-LEN(SUBSTITUTE('Special Help Table'!$A12,"and",""))=3,LEN('Special Help Table'!$A12)-LEN(SUBSTITUTE('Special Help Table'!$A12,",",""))=1,LEN('Special Help Table'!$A12)-LEN(SUBSTITUTE('Special Help Table'!$A12," ",""))=3),'Special Help Table'!$A12)</f>
        <v xml:space="preserve"> James N Anderson</v>
      </c>
      <c r="C12" s="4" t="s">
        <v>41</v>
      </c>
      <c r="D12" s="2"/>
      <c r="E12" s="2" t="s">
        <v>16</v>
      </c>
      <c r="F12" s="2" t="s">
        <v>20</v>
      </c>
      <c r="G12" s="2"/>
      <c r="H12" s="2"/>
      <c r="I12" s="2"/>
      <c r="J12" s="2"/>
      <c r="K12" s="3">
        <v>41804</v>
      </c>
      <c r="L12" s="2"/>
      <c r="M12" s="2"/>
      <c r="N12" s="2" t="s">
        <v>18</v>
      </c>
    </row>
    <row r="13" spans="1:14" ht="14.5" x14ac:dyDescent="0.35">
      <c r="A13" s="2" t="s">
        <v>42</v>
      </c>
      <c r="B13" s="2" t="str" cm="1">
        <f t="array" ref="B13">_xlfn.IFS(AND(LEN('Special Help Table'!$A13)-(LEN(SUBSTITUTE('Special Help Table'!$A13,";","")))=0,LEN('Special Help Table'!$A13)-LEN(SUBSTITUTE('Special Help Table'!$A13,",",""))=1,LEN('Special Help Table'!$A13)-LEN(SUBSTITUTE('Special Help Table'!$A13,"and ",""))=0),MID('Special Help Table'!$A13&amp;" "&amp;'Special Help Table'!$A13,SEARCH(", ",'Special Help Table'!$A13)+1,LEN('Special Help Table'!$A13)),AND(LEN('Special Help Table'!$A13)-(LEN(SUBSTITUTE('Special Help Table'!$A13,";","")))=1,LEN('Special Help Table'!$A13)-LEN(SUBSTITUTE('Special Help Table'!$A13,"and ",""))=0),MID('Special Help Table'!$A13,SEARCH(",",'Special Help Table'!$A13)+1,(SEARCH(";",'Special Help Table'!$A13)-1)-SEARCH(",",'Special Help Table'!$A13))&amp;" "&amp;LEFT('Special Help Table'!$A13,SEARCH(",",'Special Help Table'!$A13)-1)&amp;";"&amp;RIGHT('Special Help Table'!$A13,LEN('Special Help Table'!$A13)-SEARCH(",",'Special Help Table'!$A13,SEARCH(";",'Special Help Table'!$A13)))&amp;" "&amp;MID('Special Help Table'!$A13,SEARCH("; ",'Special Help Table'!$A13)+2,SEARCH(",",'Special Help Table'!$A13,SEARCH(";",'Special Help Table'!$A13))-SEARCH(";",'Special Help Table'!$A13)-2),AND(LEN('Special Help Table'!$A13)-LEN(SUBSTITUTE('Special Help Table'!$A13,"and ",""))=0,LEN('Special Help Table'!$A13)-LEN(SUBSTITUTE('Special Help Table'!$A13,";",""))=0),'Special Help Table'!$A13,AND(LEN('Special Help Table'!$A13)-LEN(SUBSTITUTE('Special Help Table'!$A13,",","")=1),LEN('Special Help Table'!$A13)-LEN(SUBSTITUTE('Special Help Table'!$A13," ","")=20),LEN('Special Help Table'!$A13)-LEN(SUBSTITUTE('Special Help Table'!$A13," and",""))=0,LEN('Special Help Table'!$A13)-LEN(SUBSTITUTE('Special Help Table'!$A13,",","",FIND(" ",'Special Help Table'!$A13)+1))=0),RIGHT('Special Help Table'!$A13,LEN('Special Help Table'!$A13)-FIND(", ",'Special Help Table'!$A13))&amp;" "&amp;LEFT('Special Help Table'!$A13,FIND(",",'Special Help Table'!$A13)-1),AND(LEN('Special Help Table'!$A13)-LEN(SUBSTITUTE('Special Help Table'!$A13,"editor",""))=6,LEN('Special Help Table'!$A13)-LEN(SUBSTITUTE('Special Help Table'!$A13,"(",""))=0,LEN('Special Help Table'!$A13)-LEN(SUBSTITUTE('Special Help Table'!$A13,"and",""))=3,LEN('Special Help Table'!$A13)-LEN(SUBSTITUTE('Special Help Table'!$A13,",",""))=1,LEN('Special Help Table'!$A13)-LEN(SUBSTITUTE('Special Help Table'!$A13," ",""))=3),'Special Help Table'!$A13)</f>
        <v xml:space="preserve"> Sam A. Andreades</v>
      </c>
      <c r="C13" s="4" t="s">
        <v>43</v>
      </c>
      <c r="D13" s="2"/>
      <c r="E13" s="2" t="s">
        <v>16</v>
      </c>
      <c r="F13" s="2" t="s">
        <v>17</v>
      </c>
      <c r="G13" s="2"/>
      <c r="H13" s="2"/>
      <c r="I13" s="2"/>
      <c r="J13" s="2" t="s">
        <v>44</v>
      </c>
      <c r="K13" s="3">
        <v>44772</v>
      </c>
      <c r="L13" s="2"/>
      <c r="M13" s="2"/>
      <c r="N13" s="2" t="s">
        <v>18</v>
      </c>
    </row>
    <row r="14" spans="1:14" ht="14.5" x14ac:dyDescent="0.35">
      <c r="A14" s="2" t="s">
        <v>45</v>
      </c>
      <c r="B14" s="2" t="str" cm="1">
        <f t="array" ref="B14">_xlfn.IFS(AND(LEN('Special Help Table'!$A14)-(LEN(SUBSTITUTE('Special Help Table'!$A14,";","")))=0,LEN('Special Help Table'!$A14)-LEN(SUBSTITUTE('Special Help Table'!$A14,",",""))=1,LEN('Special Help Table'!$A14)-LEN(SUBSTITUTE('Special Help Table'!$A14,"and ",""))=0),MID('Special Help Table'!$A14&amp;" "&amp;'Special Help Table'!$A14,SEARCH(", ",'Special Help Table'!$A14)+1,LEN('Special Help Table'!$A14)),AND(LEN('Special Help Table'!$A14)-(LEN(SUBSTITUTE('Special Help Table'!$A14,";","")))=1,LEN('Special Help Table'!$A14)-LEN(SUBSTITUTE('Special Help Table'!$A14,"and ",""))=0),MID('Special Help Table'!$A14,SEARCH(",",'Special Help Table'!$A14)+1,(SEARCH(";",'Special Help Table'!$A14)-1)-SEARCH(",",'Special Help Table'!$A14))&amp;" "&amp;LEFT('Special Help Table'!$A14,SEARCH(",",'Special Help Table'!$A14)-1)&amp;";"&amp;RIGHT('Special Help Table'!$A14,LEN('Special Help Table'!$A14)-SEARCH(",",'Special Help Table'!$A14,SEARCH(";",'Special Help Table'!$A14)))&amp;" "&amp;MID('Special Help Table'!$A14,SEARCH("; ",'Special Help Table'!$A14)+2,SEARCH(",",'Special Help Table'!$A14,SEARCH(";",'Special Help Table'!$A14))-SEARCH(";",'Special Help Table'!$A14)-2),AND(LEN('Special Help Table'!$A14)-LEN(SUBSTITUTE('Special Help Table'!$A14,"and ",""))=0,LEN('Special Help Table'!$A14)-LEN(SUBSTITUTE('Special Help Table'!$A14,";",""))=0),'Special Help Table'!$A14,AND(LEN('Special Help Table'!$A14)-LEN(SUBSTITUTE('Special Help Table'!$A14,",","")=1),LEN('Special Help Table'!$A14)-LEN(SUBSTITUTE('Special Help Table'!$A14," ","")=20),LEN('Special Help Table'!$A14)-LEN(SUBSTITUTE('Special Help Table'!$A14," and",""))=0,LEN('Special Help Table'!$A14)-LEN(SUBSTITUTE('Special Help Table'!$A14,",","",FIND(" ",'Special Help Table'!$A14)+1))=0),RIGHT('Special Help Table'!$A14,LEN('Special Help Table'!$A14)-FIND(", ",'Special Help Table'!$A14))&amp;" "&amp;LEFT('Special Help Table'!$A14,FIND(",",'Special Help Table'!$A14)-1),AND(LEN('Special Help Table'!$A14)-LEN(SUBSTITUTE('Special Help Table'!$A14,"editor",""))=6,LEN('Special Help Table'!$A14)-LEN(SUBSTITUTE('Special Help Table'!$A14,"(",""))=0,LEN('Special Help Table'!$A14)-LEN(SUBSTITUTE('Special Help Table'!$A14,"and",""))=3,LEN('Special Help Table'!$A14)-LEN(SUBSTITUTE('Special Help Table'!$A14,",",""))=1,LEN('Special Help Table'!$A14)-LEN(SUBSTITUTE('Special Help Table'!$A14," ",""))=3),'Special Help Table'!$A14)</f>
        <v xml:space="preserve"> Jim Andrews</v>
      </c>
      <c r="C14" s="4" t="s">
        <v>46</v>
      </c>
      <c r="D14" s="2"/>
      <c r="E14" s="2" t="s">
        <v>16</v>
      </c>
      <c r="F14" s="2" t="s">
        <v>36</v>
      </c>
      <c r="G14" s="2"/>
      <c r="H14" s="2"/>
      <c r="I14" s="2"/>
      <c r="J14" s="2"/>
      <c r="K14" s="3">
        <v>40247</v>
      </c>
      <c r="L14" s="2"/>
      <c r="M14" s="2"/>
      <c r="N14" s="2" t="s">
        <v>18</v>
      </c>
    </row>
    <row r="15" spans="1:14" ht="14.5" x14ac:dyDescent="0.35">
      <c r="A15" s="2" t="s">
        <v>47</v>
      </c>
      <c r="B15" s="2" t="str" cm="1">
        <f t="array" ref="B15">_xlfn.IFS(AND(LEN('Special Help Table'!$A15)-(LEN(SUBSTITUTE('Special Help Table'!$A15,";","")))=0,LEN('Special Help Table'!$A15)-LEN(SUBSTITUTE('Special Help Table'!$A15,",",""))=1,LEN('Special Help Table'!$A15)-LEN(SUBSTITUTE('Special Help Table'!$A15,"and ",""))=0),MID('Special Help Table'!$A15&amp;" "&amp;'Special Help Table'!$A15,SEARCH(", ",'Special Help Table'!$A15)+1,LEN('Special Help Table'!$A15)),AND(LEN('Special Help Table'!$A15)-(LEN(SUBSTITUTE('Special Help Table'!$A15,";","")))=1,LEN('Special Help Table'!$A15)-LEN(SUBSTITUTE('Special Help Table'!$A15,"and ",""))=0),MID('Special Help Table'!$A15,SEARCH(",",'Special Help Table'!$A15)+1,(SEARCH(";",'Special Help Table'!$A15)-1)-SEARCH(",",'Special Help Table'!$A15))&amp;" "&amp;LEFT('Special Help Table'!$A15,SEARCH(",",'Special Help Table'!$A15)-1)&amp;";"&amp;RIGHT('Special Help Table'!$A15,LEN('Special Help Table'!$A15)-SEARCH(",",'Special Help Table'!$A15,SEARCH(";",'Special Help Table'!$A15)))&amp;" "&amp;MID('Special Help Table'!$A15,SEARCH("; ",'Special Help Table'!$A15)+2,SEARCH(",",'Special Help Table'!$A15,SEARCH(";",'Special Help Table'!$A15))-SEARCH(";",'Special Help Table'!$A15)-2),AND(LEN('Special Help Table'!$A15)-LEN(SUBSTITUTE('Special Help Table'!$A15,"and ",""))=0,LEN('Special Help Table'!$A15)-LEN(SUBSTITUTE('Special Help Table'!$A15,";",""))=0),'Special Help Table'!$A15,AND(LEN('Special Help Table'!$A15)-LEN(SUBSTITUTE('Special Help Table'!$A15,",","")=1),LEN('Special Help Table'!$A15)-LEN(SUBSTITUTE('Special Help Table'!$A15," ","")=20),LEN('Special Help Table'!$A15)-LEN(SUBSTITUTE('Special Help Table'!$A15," and",""))=0,LEN('Special Help Table'!$A15)-LEN(SUBSTITUTE('Special Help Table'!$A15,",","",FIND(" ",'Special Help Table'!$A15)+1))=0),RIGHT('Special Help Table'!$A15,LEN('Special Help Table'!$A15)-FIND(", ",'Special Help Table'!$A15))&amp;" "&amp;LEFT('Special Help Table'!$A15,FIND(",",'Special Help Table'!$A15)-1),AND(LEN('Special Help Table'!$A15)-LEN(SUBSTITUTE('Special Help Table'!$A15,"editor",""))=6,LEN('Special Help Table'!$A15)-LEN(SUBSTITUTE('Special Help Table'!$A15,"(",""))=0,LEN('Special Help Table'!$A15)-LEN(SUBSTITUTE('Special Help Table'!$A15,"and",""))=3,LEN('Special Help Table'!$A15)-LEN(SUBSTITUTE('Special Help Table'!$A15,",",""))=1,LEN('Special Help Table'!$A15)-LEN(SUBSTITUTE('Special Help Table'!$A15," ",""))=3),'Special Help Table'!$A15)</f>
        <v xml:space="preserve"> Thabiti Anyabwile</v>
      </c>
      <c r="C15" s="4" t="s">
        <v>48</v>
      </c>
      <c r="D15" s="2"/>
      <c r="E15" s="2" t="s">
        <v>16</v>
      </c>
      <c r="F15" s="2" t="s">
        <v>33</v>
      </c>
      <c r="G15" s="2"/>
      <c r="H15" s="2"/>
      <c r="I15" s="2"/>
      <c r="J15" s="2" t="s">
        <v>49</v>
      </c>
      <c r="K15" s="3">
        <v>40735</v>
      </c>
      <c r="L15" s="2"/>
      <c r="M15" s="2"/>
      <c r="N15" s="2" t="s">
        <v>18</v>
      </c>
    </row>
    <row r="16" spans="1:14" ht="14.5" x14ac:dyDescent="0.35">
      <c r="A16" s="2" t="s">
        <v>50</v>
      </c>
      <c r="B16" s="2" t="str" cm="1">
        <f t="array" ref="B16">_xlfn.IFS(AND(LEN('Special Help Table'!$A16)-(LEN(SUBSTITUTE('Special Help Table'!$A16,";","")))=0,LEN('Special Help Table'!$A16)-LEN(SUBSTITUTE('Special Help Table'!$A16,",",""))=1,LEN('Special Help Table'!$A16)-LEN(SUBSTITUTE('Special Help Table'!$A16,"and ",""))=0),MID('Special Help Table'!$A16&amp;" "&amp;'Special Help Table'!$A16,SEARCH(", ",'Special Help Table'!$A16)+1,LEN('Special Help Table'!$A16)),AND(LEN('Special Help Table'!$A16)-(LEN(SUBSTITUTE('Special Help Table'!$A16,";","")))=1,LEN('Special Help Table'!$A16)-LEN(SUBSTITUTE('Special Help Table'!$A16,"and ",""))=0),MID('Special Help Table'!$A16,SEARCH(",",'Special Help Table'!$A16)+1,(SEARCH(";",'Special Help Table'!$A16)-1)-SEARCH(",",'Special Help Table'!$A16))&amp;" "&amp;LEFT('Special Help Table'!$A16,SEARCH(",",'Special Help Table'!$A16)-1)&amp;";"&amp;RIGHT('Special Help Table'!$A16,LEN('Special Help Table'!$A16)-SEARCH(",",'Special Help Table'!$A16,SEARCH(";",'Special Help Table'!$A16)))&amp;" "&amp;MID('Special Help Table'!$A16,SEARCH("; ",'Special Help Table'!$A16)+2,SEARCH(",",'Special Help Table'!$A16,SEARCH(";",'Special Help Table'!$A16))-SEARCH(";",'Special Help Table'!$A16)-2),AND(LEN('Special Help Table'!$A16)-LEN(SUBSTITUTE('Special Help Table'!$A16,"and ",""))=0,LEN('Special Help Table'!$A16)-LEN(SUBSTITUTE('Special Help Table'!$A16,";",""))=0),'Special Help Table'!$A16,AND(LEN('Special Help Table'!$A16)-LEN(SUBSTITUTE('Special Help Table'!$A16,",","")=1),LEN('Special Help Table'!$A16)-LEN(SUBSTITUTE('Special Help Table'!$A16," ","")=20),LEN('Special Help Table'!$A16)-LEN(SUBSTITUTE('Special Help Table'!$A16," and",""))=0,LEN('Special Help Table'!$A16)-LEN(SUBSTITUTE('Special Help Table'!$A16,",","",FIND(" ",'Special Help Table'!$A16)+1))=0),RIGHT('Special Help Table'!$A16,LEN('Special Help Table'!$A16)-FIND(", ",'Special Help Table'!$A16))&amp;" "&amp;LEFT('Special Help Table'!$A16,FIND(",",'Special Help Table'!$A16)-1),AND(LEN('Special Help Table'!$A16)-LEN(SUBSTITUTE('Special Help Table'!$A16,"editor",""))=6,LEN('Special Help Table'!$A16)-LEN(SUBSTITUTE('Special Help Table'!$A16,"(",""))=0,LEN('Special Help Table'!$A16)-LEN(SUBSTITUTE('Special Help Table'!$A16,"and",""))=3,LEN('Special Help Table'!$A16)-LEN(SUBSTITUTE('Special Help Table'!$A16,",",""))=1,LEN('Special Help Table'!$A16)-LEN(SUBSTITUTE('Special Help Table'!$A16," ",""))=3),'Special Help Table'!$A16)</f>
        <v xml:space="preserve"> Christopher Ash</v>
      </c>
      <c r="C16" s="2" t="s">
        <v>51</v>
      </c>
      <c r="D16" s="2"/>
      <c r="E16" s="2" t="s">
        <v>16</v>
      </c>
      <c r="F16" s="2" t="s">
        <v>36</v>
      </c>
      <c r="G16" s="2" t="s">
        <v>33</v>
      </c>
      <c r="H16" s="2"/>
      <c r="I16" s="2"/>
      <c r="J16" s="2" t="s">
        <v>52</v>
      </c>
      <c r="K16" s="3">
        <v>43872</v>
      </c>
      <c r="L16" s="2"/>
      <c r="M16" s="2"/>
      <c r="N16" s="2" t="s">
        <v>18</v>
      </c>
    </row>
    <row r="17" spans="1:14" ht="14.5" x14ac:dyDescent="0.35">
      <c r="A17" s="2" t="s">
        <v>50</v>
      </c>
      <c r="B17" s="2" t="str" cm="1">
        <f t="array" ref="B17">_xlfn.IFS(AND(LEN('Special Help Table'!$A17)-(LEN(SUBSTITUTE('Special Help Table'!$A17,";","")))=0,LEN('Special Help Table'!$A17)-LEN(SUBSTITUTE('Special Help Table'!$A17,",",""))=1,LEN('Special Help Table'!$A17)-LEN(SUBSTITUTE('Special Help Table'!$A17,"and ",""))=0),MID('Special Help Table'!$A17&amp;" "&amp;'Special Help Table'!$A17,SEARCH(", ",'Special Help Table'!$A17)+1,LEN('Special Help Table'!$A17)),AND(LEN('Special Help Table'!$A17)-(LEN(SUBSTITUTE('Special Help Table'!$A17,";","")))=1,LEN('Special Help Table'!$A17)-LEN(SUBSTITUTE('Special Help Table'!$A17,"and ",""))=0),MID('Special Help Table'!$A17,SEARCH(",",'Special Help Table'!$A17)+1,(SEARCH(";",'Special Help Table'!$A17)-1)-SEARCH(",",'Special Help Table'!$A17))&amp;" "&amp;LEFT('Special Help Table'!$A17,SEARCH(",",'Special Help Table'!$A17)-1)&amp;";"&amp;RIGHT('Special Help Table'!$A17,LEN('Special Help Table'!$A17)-SEARCH(",",'Special Help Table'!$A17,SEARCH(";",'Special Help Table'!$A17)))&amp;" "&amp;MID('Special Help Table'!$A17,SEARCH("; ",'Special Help Table'!$A17)+2,SEARCH(",",'Special Help Table'!$A17,SEARCH(";",'Special Help Table'!$A17))-SEARCH(";",'Special Help Table'!$A17)-2),AND(LEN('Special Help Table'!$A17)-LEN(SUBSTITUTE('Special Help Table'!$A17,"and ",""))=0,LEN('Special Help Table'!$A17)-LEN(SUBSTITUTE('Special Help Table'!$A17,";",""))=0),'Special Help Table'!$A17,AND(LEN('Special Help Table'!$A17)-LEN(SUBSTITUTE('Special Help Table'!$A17,",","")=1),LEN('Special Help Table'!$A17)-LEN(SUBSTITUTE('Special Help Table'!$A17," ","")=20),LEN('Special Help Table'!$A17)-LEN(SUBSTITUTE('Special Help Table'!$A17," and",""))=0,LEN('Special Help Table'!$A17)-LEN(SUBSTITUTE('Special Help Table'!$A17,",","",FIND(" ",'Special Help Table'!$A17)+1))=0),RIGHT('Special Help Table'!$A17,LEN('Special Help Table'!$A17)-FIND(", ",'Special Help Table'!$A17))&amp;" "&amp;LEFT('Special Help Table'!$A17,FIND(",",'Special Help Table'!$A17)-1),AND(LEN('Special Help Table'!$A17)-LEN(SUBSTITUTE('Special Help Table'!$A17,"editor",""))=6,LEN('Special Help Table'!$A17)-LEN(SUBSTITUTE('Special Help Table'!$A17,"(",""))=0,LEN('Special Help Table'!$A17)-LEN(SUBSTITUTE('Special Help Table'!$A17,"and",""))=3,LEN('Special Help Table'!$A17)-LEN(SUBSTITUTE('Special Help Table'!$A17,",",""))=1,LEN('Special Help Table'!$A17)-LEN(SUBSTITUTE('Special Help Table'!$A17," ",""))=3),'Special Help Table'!$A17)</f>
        <v xml:space="preserve"> Christopher Ash</v>
      </c>
      <c r="C17" s="4" t="s">
        <v>53</v>
      </c>
      <c r="D17" s="2"/>
      <c r="E17" s="2" t="s">
        <v>16</v>
      </c>
      <c r="F17" s="2" t="s">
        <v>36</v>
      </c>
      <c r="G17" s="2"/>
      <c r="H17" s="2"/>
      <c r="I17" s="2"/>
      <c r="J17" s="2" t="s">
        <v>52</v>
      </c>
      <c r="K17" s="3">
        <v>42476</v>
      </c>
      <c r="L17" s="2"/>
      <c r="M17" s="2"/>
      <c r="N17" s="2" t="s">
        <v>18</v>
      </c>
    </row>
    <row r="18" spans="1:14" ht="14.5" x14ac:dyDescent="0.35">
      <c r="A18" s="2" t="s">
        <v>54</v>
      </c>
      <c r="B18" s="2" t="str" cm="1">
        <f t="array" ref="B18">_xlfn.IFS(AND(LEN('Special Help Table'!$A18)-(LEN(SUBSTITUTE('Special Help Table'!$A18,";","")))=0,LEN('Special Help Table'!$A18)-LEN(SUBSTITUTE('Special Help Table'!$A18,",",""))=1,LEN('Special Help Table'!$A18)-LEN(SUBSTITUTE('Special Help Table'!$A18,"and ",""))=0),MID('Special Help Table'!$A18&amp;" "&amp;'Special Help Table'!$A18,SEARCH(", ",'Special Help Table'!$A18)+1,LEN('Special Help Table'!$A18)),AND(LEN('Special Help Table'!$A18)-(LEN(SUBSTITUTE('Special Help Table'!$A18,";","")))=1,LEN('Special Help Table'!$A18)-LEN(SUBSTITUTE('Special Help Table'!$A18,"and ",""))=0),MID('Special Help Table'!$A18,SEARCH(",",'Special Help Table'!$A18)+1,(SEARCH(";",'Special Help Table'!$A18)-1)-SEARCH(",",'Special Help Table'!$A18))&amp;" "&amp;LEFT('Special Help Table'!$A18,SEARCH(",",'Special Help Table'!$A18)-1)&amp;";"&amp;RIGHT('Special Help Table'!$A18,LEN('Special Help Table'!$A18)-SEARCH(",",'Special Help Table'!$A18,SEARCH(";",'Special Help Table'!$A18)))&amp;" "&amp;MID('Special Help Table'!$A18,SEARCH("; ",'Special Help Table'!$A18)+2,SEARCH(",",'Special Help Table'!$A18,SEARCH(";",'Special Help Table'!$A18))-SEARCH(";",'Special Help Table'!$A18)-2),AND(LEN('Special Help Table'!$A18)-LEN(SUBSTITUTE('Special Help Table'!$A18,"and ",""))=0,LEN('Special Help Table'!$A18)-LEN(SUBSTITUTE('Special Help Table'!$A18,";",""))=0),'Special Help Table'!$A18,AND(LEN('Special Help Table'!$A18)-LEN(SUBSTITUTE('Special Help Table'!$A18,",","")=1),LEN('Special Help Table'!$A18)-LEN(SUBSTITUTE('Special Help Table'!$A18," ","")=20),LEN('Special Help Table'!$A18)-LEN(SUBSTITUTE('Special Help Table'!$A18," and",""))=0,LEN('Special Help Table'!$A18)-LEN(SUBSTITUTE('Special Help Table'!$A18,",","",FIND(" ",'Special Help Table'!$A18)+1))=0),RIGHT('Special Help Table'!$A18,LEN('Special Help Table'!$A18)-FIND(", ",'Special Help Table'!$A18))&amp;" "&amp;LEFT('Special Help Table'!$A18,FIND(",",'Special Help Table'!$A18)-1),AND(LEN('Special Help Table'!$A18)-LEN(SUBSTITUTE('Special Help Table'!$A18,"editor",""))=6,LEN('Special Help Table'!$A18)-LEN(SUBSTITUTE('Special Help Table'!$A18,"(",""))=0,LEN('Special Help Table'!$A18)-LEN(SUBSTITUTE('Special Help Table'!$A18,"and",""))=3,LEN('Special Help Table'!$A18)-LEN(SUBSTITUTE('Special Help Table'!$A18,",",""))=1,LEN('Special Help Table'!$A18)-LEN(SUBSTITUTE('Special Help Table'!$A18," ",""))=3),'Special Help Table'!$A18)</f>
        <v xml:space="preserve"> Christopher Ash; Steve Midgley</v>
      </c>
      <c r="C18" s="4" t="s">
        <v>55</v>
      </c>
      <c r="D18" s="2"/>
      <c r="E18" s="2" t="s">
        <v>16</v>
      </c>
      <c r="F18" s="2" t="s">
        <v>17</v>
      </c>
      <c r="G18" s="2"/>
      <c r="H18" s="2"/>
      <c r="I18" s="2"/>
      <c r="J18" s="2" t="s">
        <v>56</v>
      </c>
      <c r="K18" s="3">
        <v>44423</v>
      </c>
      <c r="L18" s="2"/>
      <c r="M18" s="2"/>
      <c r="N18" s="2" t="s">
        <v>18</v>
      </c>
    </row>
    <row r="19" spans="1:14" ht="14.5" x14ac:dyDescent="0.35">
      <c r="A19" s="2" t="s">
        <v>57</v>
      </c>
      <c r="B19" s="2" t="str" cm="1">
        <f t="array" ref="B19">_xlfn.IFS(AND(LEN('Special Help Table'!$A19)-(LEN(SUBSTITUTE('Special Help Table'!$A19,";","")))=0,LEN('Special Help Table'!$A19)-LEN(SUBSTITUTE('Special Help Table'!$A19,",",""))=1,LEN('Special Help Table'!$A19)-LEN(SUBSTITUTE('Special Help Table'!$A19,"and ",""))=0),MID('Special Help Table'!$A19&amp;" "&amp;'Special Help Table'!$A19,SEARCH(", ",'Special Help Table'!$A19)+1,LEN('Special Help Table'!$A19)),AND(LEN('Special Help Table'!$A19)-(LEN(SUBSTITUTE('Special Help Table'!$A19,";","")))=1,LEN('Special Help Table'!$A19)-LEN(SUBSTITUTE('Special Help Table'!$A19,"and ",""))=0),MID('Special Help Table'!$A19,SEARCH(",",'Special Help Table'!$A19)+1,(SEARCH(";",'Special Help Table'!$A19)-1)-SEARCH(",",'Special Help Table'!$A19))&amp;" "&amp;LEFT('Special Help Table'!$A19,SEARCH(",",'Special Help Table'!$A19)-1)&amp;";"&amp;RIGHT('Special Help Table'!$A19,LEN('Special Help Table'!$A19)-SEARCH(",",'Special Help Table'!$A19,SEARCH(";",'Special Help Table'!$A19)))&amp;" "&amp;MID('Special Help Table'!$A19,SEARCH("; ",'Special Help Table'!$A19)+2,SEARCH(",",'Special Help Table'!$A19,SEARCH(";",'Special Help Table'!$A19))-SEARCH(";",'Special Help Table'!$A19)-2),AND(LEN('Special Help Table'!$A19)-LEN(SUBSTITUTE('Special Help Table'!$A19,"and ",""))=0,LEN('Special Help Table'!$A19)-LEN(SUBSTITUTE('Special Help Table'!$A19,";",""))=0),'Special Help Table'!$A19,AND(LEN('Special Help Table'!$A19)-LEN(SUBSTITUTE('Special Help Table'!$A19,",","")=1),LEN('Special Help Table'!$A19)-LEN(SUBSTITUTE('Special Help Table'!$A19," ","")=20),LEN('Special Help Table'!$A19)-LEN(SUBSTITUTE('Special Help Table'!$A19," and",""))=0,LEN('Special Help Table'!$A19)-LEN(SUBSTITUTE('Special Help Table'!$A19,",","",FIND(" ",'Special Help Table'!$A19)+1))=0),RIGHT('Special Help Table'!$A19,LEN('Special Help Table'!$A19)-FIND(", ",'Special Help Table'!$A19))&amp;" "&amp;LEFT('Special Help Table'!$A19,FIND(",",'Special Help Table'!$A19)-1),AND(LEN('Special Help Table'!$A19)-LEN(SUBSTITUTE('Special Help Table'!$A19,"editor",""))=6,LEN('Special Help Table'!$A19)-LEN(SUBSTITUTE('Special Help Table'!$A19,"(",""))=0,LEN('Special Help Table'!$A19)-LEN(SUBSTITUTE('Special Help Table'!$A19,"and",""))=3,LEN('Special Help Table'!$A19)-LEN(SUBSTITUTE('Special Help Table'!$A19,",",""))=1,LEN('Special Help Table'!$A19)-LEN(SUBSTITUTE('Special Help Table'!$A19," ",""))=3),'Special Help Table'!$A19)</f>
        <v xml:space="preserve"> Gladys Aylward</v>
      </c>
      <c r="C19" s="4" t="s">
        <v>58</v>
      </c>
      <c r="D19" s="2"/>
      <c r="E19" s="2" t="s">
        <v>16</v>
      </c>
      <c r="F19" s="2" t="s">
        <v>39</v>
      </c>
      <c r="G19" s="2"/>
      <c r="H19" s="2"/>
      <c r="I19" s="2"/>
      <c r="J19" s="2" t="s">
        <v>59</v>
      </c>
      <c r="K19" s="3">
        <v>40034</v>
      </c>
      <c r="L19" s="2"/>
      <c r="M19" s="2"/>
      <c r="N19" s="2" t="s">
        <v>18</v>
      </c>
    </row>
    <row r="20" spans="1:14" ht="14.5" x14ac:dyDescent="0.35">
      <c r="A20" s="2" t="s">
        <v>60</v>
      </c>
      <c r="B20" s="2" t="str" cm="1">
        <f t="array" ref="B20">_xlfn.IFS(AND(LEN('Special Help Table'!$A20)-(LEN(SUBSTITUTE('Special Help Table'!$A20,";","")))=0,LEN('Special Help Table'!$A20)-LEN(SUBSTITUTE('Special Help Table'!$A20,",",""))=1,LEN('Special Help Table'!$A20)-LEN(SUBSTITUTE('Special Help Table'!$A20,"and ",""))=0),MID('Special Help Table'!$A20&amp;" "&amp;'Special Help Table'!$A20,SEARCH(", ",'Special Help Table'!$A20)+1,LEN('Special Help Table'!$A20)),AND(LEN('Special Help Table'!$A20)-(LEN(SUBSTITUTE('Special Help Table'!$A20,";","")))=1,LEN('Special Help Table'!$A20)-LEN(SUBSTITUTE('Special Help Table'!$A20,"and ",""))=0),MID('Special Help Table'!$A20,SEARCH(",",'Special Help Table'!$A20)+1,(SEARCH(";",'Special Help Table'!$A20)-1)-SEARCH(",",'Special Help Table'!$A20))&amp;" "&amp;LEFT('Special Help Table'!$A20,SEARCH(",",'Special Help Table'!$A20)-1)&amp;";"&amp;RIGHT('Special Help Table'!$A20,LEN('Special Help Table'!$A20)-SEARCH(",",'Special Help Table'!$A20,SEARCH(";",'Special Help Table'!$A20)))&amp;" "&amp;MID('Special Help Table'!$A20,SEARCH("; ",'Special Help Table'!$A20)+2,SEARCH(",",'Special Help Table'!$A20,SEARCH(";",'Special Help Table'!$A20))-SEARCH(";",'Special Help Table'!$A20)-2),AND(LEN('Special Help Table'!$A20)-LEN(SUBSTITUTE('Special Help Table'!$A20,"and ",""))=0,LEN('Special Help Table'!$A20)-LEN(SUBSTITUTE('Special Help Table'!$A20,";",""))=0),'Special Help Table'!$A20,AND(LEN('Special Help Table'!$A20)-LEN(SUBSTITUTE('Special Help Table'!$A20,",","")=1),LEN('Special Help Table'!$A20)-LEN(SUBSTITUTE('Special Help Table'!$A20," ","")=20),LEN('Special Help Table'!$A20)-LEN(SUBSTITUTE('Special Help Table'!$A20," and",""))=0,LEN('Special Help Table'!$A20)-LEN(SUBSTITUTE('Special Help Table'!$A20,",","",FIND(" ",'Special Help Table'!$A20)+1))=0),RIGHT('Special Help Table'!$A20,LEN('Special Help Table'!$A20)-FIND(", ",'Special Help Table'!$A20))&amp;" "&amp;LEFT('Special Help Table'!$A20,FIND(",",'Special Help Table'!$A20)-1),AND(LEN('Special Help Table'!$A20)-LEN(SUBSTITUTE('Special Help Table'!$A20,"editor",""))=6,LEN('Special Help Table'!$A20)-LEN(SUBSTITUTE('Special Help Table'!$A20,"(",""))=0,LEN('Special Help Table'!$A20)-LEN(SUBSTITUTE('Special Help Table'!$A20,"and",""))=3,LEN('Special Help Table'!$A20)-LEN(SUBSTITUTE('Special Help Table'!$A20,",",""))=1,LEN('Special Help Table'!$A20)-LEN(SUBSTITUTE('Special Help Table'!$A20," ",""))=3),'Special Help Table'!$A20)</f>
        <v xml:space="preserve"> Roland H Bainton</v>
      </c>
      <c r="C20" s="4" t="s">
        <v>61</v>
      </c>
      <c r="D20" s="2"/>
      <c r="E20" s="2" t="s">
        <v>16</v>
      </c>
      <c r="F20" s="2" t="s">
        <v>39</v>
      </c>
      <c r="G20" s="2"/>
      <c r="H20" s="2"/>
      <c r="I20" s="2"/>
      <c r="J20" s="2"/>
      <c r="K20" s="3">
        <v>40034</v>
      </c>
      <c r="L20" s="2"/>
      <c r="M20" s="2"/>
      <c r="N20" s="2" t="s">
        <v>18</v>
      </c>
    </row>
    <row r="21" spans="1:14" ht="15.75" customHeight="1" x14ac:dyDescent="0.35">
      <c r="A21" s="2" t="s">
        <v>62</v>
      </c>
      <c r="B21" s="2" t="str" cm="1">
        <f t="array" ref="B21">_xlfn.IFS(AND(LEN('Special Help Table'!$A21)-(LEN(SUBSTITUTE('Special Help Table'!$A21,";","")))=0,LEN('Special Help Table'!$A21)-LEN(SUBSTITUTE('Special Help Table'!$A21,",",""))=1,LEN('Special Help Table'!$A21)-LEN(SUBSTITUTE('Special Help Table'!$A21,"and ",""))=0),MID('Special Help Table'!$A21&amp;" "&amp;'Special Help Table'!$A21,SEARCH(", ",'Special Help Table'!$A21)+1,LEN('Special Help Table'!$A21)),AND(LEN('Special Help Table'!$A21)-(LEN(SUBSTITUTE('Special Help Table'!$A21,";","")))=1,LEN('Special Help Table'!$A21)-LEN(SUBSTITUTE('Special Help Table'!$A21,"and ",""))=0),MID('Special Help Table'!$A21,SEARCH(",",'Special Help Table'!$A21)+1,(SEARCH(";",'Special Help Table'!$A21)-1)-SEARCH(",",'Special Help Table'!$A21))&amp;" "&amp;LEFT('Special Help Table'!$A21,SEARCH(",",'Special Help Table'!$A21)-1)&amp;";"&amp;RIGHT('Special Help Table'!$A21,LEN('Special Help Table'!$A21)-SEARCH(",",'Special Help Table'!$A21,SEARCH(";",'Special Help Table'!$A21)))&amp;" "&amp;MID('Special Help Table'!$A21,SEARCH("; ",'Special Help Table'!$A21)+2,SEARCH(",",'Special Help Table'!$A21,SEARCH(";",'Special Help Table'!$A21))-SEARCH(";",'Special Help Table'!$A21)-2),AND(LEN('Special Help Table'!$A21)-LEN(SUBSTITUTE('Special Help Table'!$A21,"and ",""))=0,LEN('Special Help Table'!$A21)-LEN(SUBSTITUTE('Special Help Table'!$A21,";",""))=0),'Special Help Table'!$A21,AND(LEN('Special Help Table'!$A21)-LEN(SUBSTITUTE('Special Help Table'!$A21,",","")=1),LEN('Special Help Table'!$A21)-LEN(SUBSTITUTE('Special Help Table'!$A21," ","")=20),LEN('Special Help Table'!$A21)-LEN(SUBSTITUTE('Special Help Table'!$A21," and",""))=0,LEN('Special Help Table'!$A21)-LEN(SUBSTITUTE('Special Help Table'!$A21,",","",FIND(" ",'Special Help Table'!$A21)+1))=0),RIGHT('Special Help Table'!$A21,LEN('Special Help Table'!$A21)-FIND(", ",'Special Help Table'!$A21))&amp;" "&amp;LEFT('Special Help Table'!$A21,FIND(",",'Special Help Table'!$A21)-1),AND(LEN('Special Help Table'!$A21)-LEN(SUBSTITUTE('Special Help Table'!$A21,"editor",""))=6,LEN('Special Help Table'!$A21)-LEN(SUBSTITUTE('Special Help Table'!$A21,"(",""))=0,LEN('Special Help Table'!$A21)-LEN(SUBSTITUTE('Special Help Table'!$A21,"and",""))=3,LEN('Special Help Table'!$A21)-LEN(SUBSTITUTE('Special Help Table'!$A21,",",""))=1,LEN('Special Help Table'!$A21)-LEN(SUBSTITUTE('Special Help Table'!$A21," ",""))=3),'Special Help Table'!$A21)</f>
        <v xml:space="preserve"> Lindley Baldwin</v>
      </c>
      <c r="C21" s="4" t="s">
        <v>63</v>
      </c>
      <c r="D21" s="2"/>
      <c r="E21" s="2" t="s">
        <v>16</v>
      </c>
      <c r="F21" s="2" t="s">
        <v>39</v>
      </c>
      <c r="G21" s="2"/>
      <c r="H21" s="2"/>
      <c r="I21" s="2"/>
      <c r="J21" s="2"/>
      <c r="K21" s="3">
        <v>40034</v>
      </c>
      <c r="L21" s="2"/>
      <c r="M21" s="2"/>
      <c r="N21" s="2" t="s">
        <v>18</v>
      </c>
    </row>
    <row r="22" spans="1:14" ht="15.75" customHeight="1" x14ac:dyDescent="0.35">
      <c r="A22" s="2" t="s">
        <v>64</v>
      </c>
      <c r="B22" s="2" t="str" cm="1">
        <f t="array" ref="B22">_xlfn.IFS(AND(LEN('Special Help Table'!$A22)-(LEN(SUBSTITUTE('Special Help Table'!$A22,";","")))=0,LEN('Special Help Table'!$A22)-LEN(SUBSTITUTE('Special Help Table'!$A22,",",""))=1,LEN('Special Help Table'!$A22)-LEN(SUBSTITUTE('Special Help Table'!$A22,"and ",""))=0),MID('Special Help Table'!$A22&amp;" "&amp;'Special Help Table'!$A22,SEARCH(", ",'Special Help Table'!$A22)+1,LEN('Special Help Table'!$A22)),AND(LEN('Special Help Table'!$A22)-(LEN(SUBSTITUTE('Special Help Table'!$A22,";","")))=1,LEN('Special Help Table'!$A22)-LEN(SUBSTITUTE('Special Help Table'!$A22,"and ",""))=0),MID('Special Help Table'!$A22,SEARCH(",",'Special Help Table'!$A22)+1,(SEARCH(";",'Special Help Table'!$A22)-1)-SEARCH(",",'Special Help Table'!$A22))&amp;" "&amp;LEFT('Special Help Table'!$A22,SEARCH(",",'Special Help Table'!$A22)-1)&amp;";"&amp;RIGHT('Special Help Table'!$A22,LEN('Special Help Table'!$A22)-SEARCH(",",'Special Help Table'!$A22,SEARCH(";",'Special Help Table'!$A22)))&amp;" "&amp;MID('Special Help Table'!$A22,SEARCH("; ",'Special Help Table'!$A22)+2,SEARCH(",",'Special Help Table'!$A22,SEARCH(";",'Special Help Table'!$A22))-SEARCH(";",'Special Help Table'!$A22)-2),AND(LEN('Special Help Table'!$A22)-LEN(SUBSTITUTE('Special Help Table'!$A22,"and ",""))=0,LEN('Special Help Table'!$A22)-LEN(SUBSTITUTE('Special Help Table'!$A22,";",""))=0),'Special Help Table'!$A22,AND(LEN('Special Help Table'!$A22)-LEN(SUBSTITUTE('Special Help Table'!$A22,",","")=1),LEN('Special Help Table'!$A22)-LEN(SUBSTITUTE('Special Help Table'!$A22," ","")=20),LEN('Special Help Table'!$A22)-LEN(SUBSTITUTE('Special Help Table'!$A22," and",""))=0,LEN('Special Help Table'!$A22)-LEN(SUBSTITUTE('Special Help Table'!$A22,",","",FIND(" ",'Special Help Table'!$A22)+1))=0),RIGHT('Special Help Table'!$A22,LEN('Special Help Table'!$A22)-FIND(", ",'Special Help Table'!$A22))&amp;" "&amp;LEFT('Special Help Table'!$A22,FIND(",",'Special Help Table'!$A22)-1),AND(LEN('Special Help Table'!$A22)-LEN(SUBSTITUTE('Special Help Table'!$A22,"editor",""))=6,LEN('Special Help Table'!$A22)-LEN(SUBSTITUTE('Special Help Table'!$A22,"(",""))=0,LEN('Special Help Table'!$A22)-LEN(SUBSTITUTE('Special Help Table'!$A22,"and",""))=3,LEN('Special Help Table'!$A22)-LEN(SUBSTITUTE('Special Help Table'!$A22,",",""))=1,LEN('Special Help Table'!$A22)-LEN(SUBSTITUTE('Special Help Table'!$A22," ",""))=3),'Special Help Table'!$A22)</f>
        <v>Banner of Trust</v>
      </c>
      <c r="C22" s="4" t="s">
        <v>65</v>
      </c>
      <c r="D22" s="2"/>
      <c r="E22" s="2" t="s">
        <v>16</v>
      </c>
      <c r="F22" s="2" t="s">
        <v>39</v>
      </c>
      <c r="G22" s="2"/>
      <c r="H22" s="2"/>
      <c r="I22" s="2"/>
      <c r="J22" s="2" t="s">
        <v>59</v>
      </c>
      <c r="K22" s="3">
        <v>40034</v>
      </c>
      <c r="L22" s="2"/>
      <c r="M22" s="2"/>
      <c r="N22" s="2" t="s">
        <v>18</v>
      </c>
    </row>
    <row r="23" spans="1:14" ht="15.75" customHeight="1" x14ac:dyDescent="0.35">
      <c r="A23" s="2" t="s">
        <v>66</v>
      </c>
      <c r="B23" s="2" t="str" cm="1">
        <f t="array" ref="B23">_xlfn.IFS(AND(LEN('Special Help Table'!$A23)-(LEN(SUBSTITUTE('Special Help Table'!$A23,";","")))=0,LEN('Special Help Table'!$A23)-LEN(SUBSTITUTE('Special Help Table'!$A23,",",""))=1,LEN('Special Help Table'!$A23)-LEN(SUBSTITUTE('Special Help Table'!$A23,"and ",""))=0),MID('Special Help Table'!$A23&amp;" "&amp;'Special Help Table'!$A23,SEARCH(", ",'Special Help Table'!$A23)+1,LEN('Special Help Table'!$A23)),AND(LEN('Special Help Table'!$A23)-(LEN(SUBSTITUTE('Special Help Table'!$A23,";","")))=1,LEN('Special Help Table'!$A23)-LEN(SUBSTITUTE('Special Help Table'!$A23,"and ",""))=0),MID('Special Help Table'!$A23,SEARCH(",",'Special Help Table'!$A23)+1,(SEARCH(";",'Special Help Table'!$A23)-1)-SEARCH(",",'Special Help Table'!$A23))&amp;" "&amp;LEFT('Special Help Table'!$A23,SEARCH(",",'Special Help Table'!$A23)-1)&amp;";"&amp;RIGHT('Special Help Table'!$A23,LEN('Special Help Table'!$A23)-SEARCH(",",'Special Help Table'!$A23,SEARCH(";",'Special Help Table'!$A23)))&amp;" "&amp;MID('Special Help Table'!$A23,SEARCH("; ",'Special Help Table'!$A23)+2,SEARCH(",",'Special Help Table'!$A23,SEARCH(";",'Special Help Table'!$A23))-SEARCH(";",'Special Help Table'!$A23)-2),AND(LEN('Special Help Table'!$A23)-LEN(SUBSTITUTE('Special Help Table'!$A23,"and ",""))=0,LEN('Special Help Table'!$A23)-LEN(SUBSTITUTE('Special Help Table'!$A23,";",""))=0),'Special Help Table'!$A23,AND(LEN('Special Help Table'!$A23)-LEN(SUBSTITUTE('Special Help Table'!$A23,",","")=1),LEN('Special Help Table'!$A23)-LEN(SUBSTITUTE('Special Help Table'!$A23," ","")=20),LEN('Special Help Table'!$A23)-LEN(SUBSTITUTE('Special Help Table'!$A23," and",""))=0,LEN('Special Help Table'!$A23)-LEN(SUBSTITUTE('Special Help Table'!$A23,",","",FIND(" ",'Special Help Table'!$A23)+1))=0),RIGHT('Special Help Table'!$A23,LEN('Special Help Table'!$A23)-FIND(", ",'Special Help Table'!$A23))&amp;" "&amp;LEFT('Special Help Table'!$A23,FIND(",",'Special Help Table'!$A23)-1),AND(LEN('Special Help Table'!$A23)-LEN(SUBSTITUTE('Special Help Table'!$A23,"editor",""))=6,LEN('Special Help Table'!$A23)-LEN(SUBSTITUTE('Special Help Table'!$A23,"(",""))=0,LEN('Special Help Table'!$A23)-LEN(SUBSTITUTE('Special Help Table'!$A23,"and",""))=3,LEN('Special Help Table'!$A23)-LEN(SUBSTITUTE('Special Help Table'!$A23,",",""))=1,LEN('Special Help Table'!$A23)-LEN(SUBSTITUTE('Special Help Table'!$A23," ",""))=3),'Special Help Table'!$A23)</f>
        <v xml:space="preserve"> Adam T. Barr</v>
      </c>
      <c r="C23" s="4" t="s">
        <v>67</v>
      </c>
      <c r="D23" s="2" t="s">
        <v>68</v>
      </c>
      <c r="E23" s="2" t="s">
        <v>16</v>
      </c>
      <c r="F23" s="2" t="s">
        <v>17</v>
      </c>
      <c r="G23" s="2"/>
      <c r="H23" s="2"/>
      <c r="I23" s="2"/>
      <c r="J23" s="2"/>
      <c r="K23" s="3">
        <v>42139</v>
      </c>
      <c r="L23" s="2"/>
      <c r="M23" s="2"/>
      <c r="N23" s="2" t="s">
        <v>18</v>
      </c>
    </row>
    <row r="24" spans="1:14" ht="15.75" customHeight="1" x14ac:dyDescent="0.35">
      <c r="A24" s="2" t="s">
        <v>69</v>
      </c>
      <c r="B24" s="2" t="str" cm="1">
        <f t="array" ref="B24">_xlfn.IFS(AND(LEN('Special Help Table'!$A24)-(LEN(SUBSTITUTE('Special Help Table'!$A24,";","")))=0,LEN('Special Help Table'!$A24)-LEN(SUBSTITUTE('Special Help Table'!$A24,",",""))=1,LEN('Special Help Table'!$A24)-LEN(SUBSTITUTE('Special Help Table'!$A24,"and ",""))=0),MID('Special Help Table'!$A24&amp;" "&amp;'Special Help Table'!$A24,SEARCH(", ",'Special Help Table'!$A24)+1,LEN('Special Help Table'!$A24)),AND(LEN('Special Help Table'!$A24)-(LEN(SUBSTITUTE('Special Help Table'!$A24,";","")))=1,LEN('Special Help Table'!$A24)-LEN(SUBSTITUTE('Special Help Table'!$A24,"and ",""))=0),MID('Special Help Table'!$A24,SEARCH(",",'Special Help Table'!$A24)+1,(SEARCH(";",'Special Help Table'!$A24)-1)-SEARCH(",",'Special Help Table'!$A24))&amp;" "&amp;LEFT('Special Help Table'!$A24,SEARCH(",",'Special Help Table'!$A24)-1)&amp;";"&amp;RIGHT('Special Help Table'!$A24,LEN('Special Help Table'!$A24)-SEARCH(",",'Special Help Table'!$A24,SEARCH(";",'Special Help Table'!$A24)))&amp;" "&amp;MID('Special Help Table'!$A24,SEARCH("; ",'Special Help Table'!$A24)+2,SEARCH(",",'Special Help Table'!$A24,SEARCH(";",'Special Help Table'!$A24))-SEARCH(";",'Special Help Table'!$A24)-2),AND(LEN('Special Help Table'!$A24)-LEN(SUBSTITUTE('Special Help Table'!$A24,"and ",""))=0,LEN('Special Help Table'!$A24)-LEN(SUBSTITUTE('Special Help Table'!$A24,";",""))=0),'Special Help Table'!$A24,AND(LEN('Special Help Table'!$A24)-LEN(SUBSTITUTE('Special Help Table'!$A24,",","")=1),LEN('Special Help Table'!$A24)-LEN(SUBSTITUTE('Special Help Table'!$A24," ","")=20),LEN('Special Help Table'!$A24)-LEN(SUBSTITUTE('Special Help Table'!$A24," and",""))=0,LEN('Special Help Table'!$A24)-LEN(SUBSTITUTE('Special Help Table'!$A24,",","",FIND(" ",'Special Help Table'!$A24)+1))=0),RIGHT('Special Help Table'!$A24,LEN('Special Help Table'!$A24)-FIND(", ",'Special Help Table'!$A24))&amp;" "&amp;LEFT('Special Help Table'!$A24,FIND(",",'Special Help Table'!$A24)-1),AND(LEN('Special Help Table'!$A24)-LEN(SUBSTITUTE('Special Help Table'!$A24,"editor",""))=6,LEN('Special Help Table'!$A24)-LEN(SUBSTITUTE('Special Help Table'!$A24,"(",""))=0,LEN('Special Help Table'!$A24)-LEN(SUBSTITUTE('Special Help Table'!$A24,"and",""))=3,LEN('Special Help Table'!$A24)-LEN(SUBSTITUTE('Special Help Table'!$A24,",",""))=1,LEN('Special Help Table'!$A24)-LEN(SUBSTITUTE('Special Help Table'!$A24," ",""))=3),'Special Help Table'!$A24)</f>
        <v xml:space="preserve"> Ethel Barret</v>
      </c>
      <c r="C24" s="4" t="s">
        <v>70</v>
      </c>
      <c r="D24" s="2" t="s">
        <v>71</v>
      </c>
      <c r="E24" s="2" t="s">
        <v>16</v>
      </c>
      <c r="F24" s="2" t="s">
        <v>72</v>
      </c>
      <c r="G24" s="2"/>
      <c r="H24" s="2"/>
      <c r="I24" s="2"/>
      <c r="J24" s="2"/>
      <c r="K24" s="3">
        <v>42511</v>
      </c>
      <c r="L24" s="2"/>
      <c r="M24" s="2"/>
      <c r="N24" s="2" t="s">
        <v>18</v>
      </c>
    </row>
    <row r="25" spans="1:14" ht="15.75" customHeight="1" x14ac:dyDescent="0.35">
      <c r="A25" s="2" t="s">
        <v>73</v>
      </c>
      <c r="B25" s="2" t="str" cm="1">
        <f t="array" ref="B25">_xlfn.IFS(AND(LEN('Special Help Table'!$A25)-(LEN(SUBSTITUTE('Special Help Table'!$A25,";","")))=0,LEN('Special Help Table'!$A25)-LEN(SUBSTITUTE('Special Help Table'!$A25,",",""))=1,LEN('Special Help Table'!$A25)-LEN(SUBSTITUTE('Special Help Table'!$A25,"and ",""))=0),MID('Special Help Table'!$A25&amp;" "&amp;'Special Help Table'!$A25,SEARCH(", ",'Special Help Table'!$A25)+1,LEN('Special Help Table'!$A25)),AND(LEN('Special Help Table'!$A25)-(LEN(SUBSTITUTE('Special Help Table'!$A25,";","")))=1,LEN('Special Help Table'!$A25)-LEN(SUBSTITUTE('Special Help Table'!$A25,"and ",""))=0),MID('Special Help Table'!$A25,SEARCH(",",'Special Help Table'!$A25)+1,(SEARCH(";",'Special Help Table'!$A25)-1)-SEARCH(",",'Special Help Table'!$A25))&amp;" "&amp;LEFT('Special Help Table'!$A25,SEARCH(",",'Special Help Table'!$A25)-1)&amp;";"&amp;RIGHT('Special Help Table'!$A25,LEN('Special Help Table'!$A25)-SEARCH(",",'Special Help Table'!$A25,SEARCH(";",'Special Help Table'!$A25)))&amp;" "&amp;MID('Special Help Table'!$A25,SEARCH("; ",'Special Help Table'!$A25)+2,SEARCH(",",'Special Help Table'!$A25,SEARCH(";",'Special Help Table'!$A25))-SEARCH(";",'Special Help Table'!$A25)-2),AND(LEN('Special Help Table'!$A25)-LEN(SUBSTITUTE('Special Help Table'!$A25,"and ",""))=0,LEN('Special Help Table'!$A25)-LEN(SUBSTITUTE('Special Help Table'!$A25,";",""))=0),'Special Help Table'!$A25,AND(LEN('Special Help Table'!$A25)-LEN(SUBSTITUTE('Special Help Table'!$A25,",","")=1),LEN('Special Help Table'!$A25)-LEN(SUBSTITUTE('Special Help Table'!$A25," ","")=20),LEN('Special Help Table'!$A25)-LEN(SUBSTITUTE('Special Help Table'!$A25," and",""))=0,LEN('Special Help Table'!$A25)-LEN(SUBSTITUTE('Special Help Table'!$A25,",","",FIND(" ",'Special Help Table'!$A25)+1))=0),RIGHT('Special Help Table'!$A25,LEN('Special Help Table'!$A25)-FIND(", ",'Special Help Table'!$A25))&amp;" "&amp;LEFT('Special Help Table'!$A25,FIND(",",'Special Help Table'!$A25)-1),AND(LEN('Special Help Table'!$A25)-LEN(SUBSTITUTE('Special Help Table'!$A25,"editor",""))=6,LEN('Special Help Table'!$A25)-LEN(SUBSTITUTE('Special Help Table'!$A25,"(",""))=0,LEN('Special Help Table'!$A25)-LEN(SUBSTITUTE('Special Help Table'!$A25,"and",""))=3,LEN('Special Help Table'!$A25)-LEN(SUBSTITUTE('Special Help Table'!$A25,",",""))=1,LEN('Special Help Table'!$A25)-LEN(SUBSTITUTE('Special Help Table'!$A25," ",""))=3),'Special Help Table'!$A25)</f>
        <v xml:space="preserve"> Matthew Barrett</v>
      </c>
      <c r="C25" s="4" t="s">
        <v>74</v>
      </c>
      <c r="D25" s="2" t="s">
        <v>75</v>
      </c>
      <c r="E25" s="2" t="s">
        <v>16</v>
      </c>
      <c r="F25" s="2" t="s">
        <v>28</v>
      </c>
      <c r="G25" s="2" t="s">
        <v>76</v>
      </c>
      <c r="H25" s="2"/>
      <c r="I25" s="2"/>
      <c r="J25" s="2" t="s">
        <v>77</v>
      </c>
      <c r="K25" s="3">
        <v>43095</v>
      </c>
      <c r="L25" s="2" t="s">
        <v>78</v>
      </c>
      <c r="M25" s="2"/>
      <c r="N25" s="2" t="s">
        <v>18</v>
      </c>
    </row>
    <row r="26" spans="1:14" ht="15.75" customHeight="1" x14ac:dyDescent="0.35">
      <c r="A26" s="2" t="s">
        <v>73</v>
      </c>
      <c r="B26" s="2" t="str" cm="1">
        <f t="array" ref="B26">_xlfn.IFS(AND(LEN('Special Help Table'!$A26)-(LEN(SUBSTITUTE('Special Help Table'!$A26,";","")))=0,LEN('Special Help Table'!$A26)-LEN(SUBSTITUTE('Special Help Table'!$A26,",",""))=1,LEN('Special Help Table'!$A26)-LEN(SUBSTITUTE('Special Help Table'!$A26,"and ",""))=0),MID('Special Help Table'!$A26&amp;" "&amp;'Special Help Table'!$A26,SEARCH(", ",'Special Help Table'!$A26)+1,LEN('Special Help Table'!$A26)),AND(LEN('Special Help Table'!$A26)-(LEN(SUBSTITUTE('Special Help Table'!$A26,";","")))=1,LEN('Special Help Table'!$A26)-LEN(SUBSTITUTE('Special Help Table'!$A26,"and ",""))=0),MID('Special Help Table'!$A26,SEARCH(",",'Special Help Table'!$A26)+1,(SEARCH(";",'Special Help Table'!$A26)-1)-SEARCH(",",'Special Help Table'!$A26))&amp;" "&amp;LEFT('Special Help Table'!$A26,SEARCH(",",'Special Help Table'!$A26)-1)&amp;";"&amp;RIGHT('Special Help Table'!$A26,LEN('Special Help Table'!$A26)-SEARCH(",",'Special Help Table'!$A26,SEARCH(";",'Special Help Table'!$A26)))&amp;" "&amp;MID('Special Help Table'!$A26,SEARCH("; ",'Special Help Table'!$A26)+2,SEARCH(",",'Special Help Table'!$A26,SEARCH(";",'Special Help Table'!$A26))-SEARCH(";",'Special Help Table'!$A26)-2),AND(LEN('Special Help Table'!$A26)-LEN(SUBSTITUTE('Special Help Table'!$A26,"and ",""))=0,LEN('Special Help Table'!$A26)-LEN(SUBSTITUTE('Special Help Table'!$A26,";",""))=0),'Special Help Table'!$A26,AND(LEN('Special Help Table'!$A26)-LEN(SUBSTITUTE('Special Help Table'!$A26,",","")=1),LEN('Special Help Table'!$A26)-LEN(SUBSTITUTE('Special Help Table'!$A26," ","")=20),LEN('Special Help Table'!$A26)-LEN(SUBSTITUTE('Special Help Table'!$A26," and",""))=0,LEN('Special Help Table'!$A26)-LEN(SUBSTITUTE('Special Help Table'!$A26,",","",FIND(" ",'Special Help Table'!$A26)+1))=0),RIGHT('Special Help Table'!$A26,LEN('Special Help Table'!$A26)-FIND(", ",'Special Help Table'!$A26))&amp;" "&amp;LEFT('Special Help Table'!$A26,FIND(",",'Special Help Table'!$A26)-1),AND(LEN('Special Help Table'!$A26)-LEN(SUBSTITUTE('Special Help Table'!$A26,"editor",""))=6,LEN('Special Help Table'!$A26)-LEN(SUBSTITUTE('Special Help Table'!$A26,"(",""))=0,LEN('Special Help Table'!$A26)-LEN(SUBSTITUTE('Special Help Table'!$A26,"and",""))=3,LEN('Special Help Table'!$A26)-LEN(SUBSTITUTE('Special Help Table'!$A26,",",""))=1,LEN('Special Help Table'!$A26)-LEN(SUBSTITUTE('Special Help Table'!$A26," ",""))=3),'Special Help Table'!$A26)</f>
        <v xml:space="preserve"> Matthew Barrett</v>
      </c>
      <c r="C26" s="4" t="s">
        <v>79</v>
      </c>
      <c r="D26" s="2"/>
      <c r="E26" s="2" t="s">
        <v>16</v>
      </c>
      <c r="F26" s="2" t="s">
        <v>28</v>
      </c>
      <c r="G26" s="2"/>
      <c r="H26" s="2"/>
      <c r="I26" s="2"/>
      <c r="J26" s="2"/>
      <c r="K26" s="3">
        <v>43704</v>
      </c>
      <c r="L26" s="2"/>
      <c r="M26" s="2"/>
      <c r="N26" s="2" t="s">
        <v>18</v>
      </c>
    </row>
    <row r="27" spans="1:14" ht="15.75" customHeight="1" x14ac:dyDescent="0.35">
      <c r="A27" s="2" t="s">
        <v>73</v>
      </c>
      <c r="B27" s="2" t="str" cm="1">
        <f t="array" ref="B27">_xlfn.IFS(AND(LEN('Special Help Table'!$A27)-(LEN(SUBSTITUTE('Special Help Table'!$A27,";","")))=0,LEN('Special Help Table'!$A27)-LEN(SUBSTITUTE('Special Help Table'!$A27,",",""))=1,LEN('Special Help Table'!$A27)-LEN(SUBSTITUTE('Special Help Table'!$A27,"and ",""))=0),MID('Special Help Table'!$A27&amp;" "&amp;'Special Help Table'!$A27,SEARCH(", ",'Special Help Table'!$A27)+1,LEN('Special Help Table'!$A27)),AND(LEN('Special Help Table'!$A27)-(LEN(SUBSTITUTE('Special Help Table'!$A27,";","")))=1,LEN('Special Help Table'!$A27)-LEN(SUBSTITUTE('Special Help Table'!$A27,"and ",""))=0),MID('Special Help Table'!$A27,SEARCH(",",'Special Help Table'!$A27)+1,(SEARCH(";",'Special Help Table'!$A27)-1)-SEARCH(",",'Special Help Table'!$A27))&amp;" "&amp;LEFT('Special Help Table'!$A27,SEARCH(",",'Special Help Table'!$A27)-1)&amp;";"&amp;RIGHT('Special Help Table'!$A27,LEN('Special Help Table'!$A27)-SEARCH(",",'Special Help Table'!$A27,SEARCH(";",'Special Help Table'!$A27)))&amp;" "&amp;MID('Special Help Table'!$A27,SEARCH("; ",'Special Help Table'!$A27)+2,SEARCH(",",'Special Help Table'!$A27,SEARCH(";",'Special Help Table'!$A27))-SEARCH(";",'Special Help Table'!$A27)-2),AND(LEN('Special Help Table'!$A27)-LEN(SUBSTITUTE('Special Help Table'!$A27,"and ",""))=0,LEN('Special Help Table'!$A27)-LEN(SUBSTITUTE('Special Help Table'!$A27,";",""))=0),'Special Help Table'!$A27,AND(LEN('Special Help Table'!$A27)-LEN(SUBSTITUTE('Special Help Table'!$A27,",","")=1),LEN('Special Help Table'!$A27)-LEN(SUBSTITUTE('Special Help Table'!$A27," ","")=20),LEN('Special Help Table'!$A27)-LEN(SUBSTITUTE('Special Help Table'!$A27," and",""))=0,LEN('Special Help Table'!$A27)-LEN(SUBSTITUTE('Special Help Table'!$A27,",","",FIND(" ",'Special Help Table'!$A27)+1))=0),RIGHT('Special Help Table'!$A27,LEN('Special Help Table'!$A27)-FIND(", ",'Special Help Table'!$A27))&amp;" "&amp;LEFT('Special Help Table'!$A27,FIND(",",'Special Help Table'!$A27)-1),AND(LEN('Special Help Table'!$A27)-LEN(SUBSTITUTE('Special Help Table'!$A27,"editor",""))=6,LEN('Special Help Table'!$A27)-LEN(SUBSTITUTE('Special Help Table'!$A27,"(",""))=0,LEN('Special Help Table'!$A27)-LEN(SUBSTITUTE('Special Help Table'!$A27,"and",""))=3,LEN('Special Help Table'!$A27)-LEN(SUBSTITUTE('Special Help Table'!$A27,",",""))=1,LEN('Special Help Table'!$A27)-LEN(SUBSTITUTE('Special Help Table'!$A27," ",""))=3),'Special Help Table'!$A27)</f>
        <v xml:space="preserve"> Matthew Barrett</v>
      </c>
      <c r="C27" s="4" t="s">
        <v>80</v>
      </c>
      <c r="D27" s="2" t="s">
        <v>81</v>
      </c>
      <c r="E27" s="2" t="s">
        <v>16</v>
      </c>
      <c r="F27" s="2" t="s">
        <v>36</v>
      </c>
      <c r="G27" s="2"/>
      <c r="H27" s="2"/>
      <c r="I27" s="2" t="s">
        <v>82</v>
      </c>
      <c r="J27" s="2"/>
      <c r="K27" s="3">
        <v>42353</v>
      </c>
      <c r="L27" s="2"/>
      <c r="M27" s="2"/>
      <c r="N27" s="2" t="s">
        <v>18</v>
      </c>
    </row>
    <row r="28" spans="1:14" ht="15.75" customHeight="1" x14ac:dyDescent="0.35">
      <c r="A28" s="2" t="s">
        <v>73</v>
      </c>
      <c r="B28" s="2" t="str" cm="1">
        <f t="array" ref="B28">_xlfn.IFS(AND(LEN('Special Help Table'!$A28)-(LEN(SUBSTITUTE('Special Help Table'!$A28,";","")))=0,LEN('Special Help Table'!$A28)-LEN(SUBSTITUTE('Special Help Table'!$A28,",",""))=1,LEN('Special Help Table'!$A28)-LEN(SUBSTITUTE('Special Help Table'!$A28,"and ",""))=0),MID('Special Help Table'!$A28&amp;" "&amp;'Special Help Table'!$A28,SEARCH(", ",'Special Help Table'!$A28)+1,LEN('Special Help Table'!$A28)),AND(LEN('Special Help Table'!$A28)-(LEN(SUBSTITUTE('Special Help Table'!$A28,";","")))=1,LEN('Special Help Table'!$A28)-LEN(SUBSTITUTE('Special Help Table'!$A28,"and ",""))=0),MID('Special Help Table'!$A28,SEARCH(",",'Special Help Table'!$A28)+1,(SEARCH(";",'Special Help Table'!$A28)-1)-SEARCH(",",'Special Help Table'!$A28))&amp;" "&amp;LEFT('Special Help Table'!$A28,SEARCH(",",'Special Help Table'!$A28)-1)&amp;";"&amp;RIGHT('Special Help Table'!$A28,LEN('Special Help Table'!$A28)-SEARCH(",",'Special Help Table'!$A28,SEARCH(";",'Special Help Table'!$A28)))&amp;" "&amp;MID('Special Help Table'!$A28,SEARCH("; ",'Special Help Table'!$A28)+2,SEARCH(",",'Special Help Table'!$A28,SEARCH(";",'Special Help Table'!$A28))-SEARCH(";",'Special Help Table'!$A28)-2),AND(LEN('Special Help Table'!$A28)-LEN(SUBSTITUTE('Special Help Table'!$A28,"and ",""))=0,LEN('Special Help Table'!$A28)-LEN(SUBSTITUTE('Special Help Table'!$A28,";",""))=0),'Special Help Table'!$A28,AND(LEN('Special Help Table'!$A28)-LEN(SUBSTITUTE('Special Help Table'!$A28,",","")=1),LEN('Special Help Table'!$A28)-LEN(SUBSTITUTE('Special Help Table'!$A28," ","")=20),LEN('Special Help Table'!$A28)-LEN(SUBSTITUTE('Special Help Table'!$A28," and",""))=0,LEN('Special Help Table'!$A28)-LEN(SUBSTITUTE('Special Help Table'!$A28,",","",FIND(" ",'Special Help Table'!$A28)+1))=0),RIGHT('Special Help Table'!$A28,LEN('Special Help Table'!$A28)-FIND(", ",'Special Help Table'!$A28))&amp;" "&amp;LEFT('Special Help Table'!$A28,FIND(",",'Special Help Table'!$A28)-1),AND(LEN('Special Help Table'!$A28)-LEN(SUBSTITUTE('Special Help Table'!$A28,"editor",""))=6,LEN('Special Help Table'!$A28)-LEN(SUBSTITUTE('Special Help Table'!$A28,"(",""))=0,LEN('Special Help Table'!$A28)-LEN(SUBSTITUTE('Special Help Table'!$A28,"and",""))=3,LEN('Special Help Table'!$A28)-LEN(SUBSTITUTE('Special Help Table'!$A28,",",""))=1,LEN('Special Help Table'!$A28)-LEN(SUBSTITUTE('Special Help Table'!$A28," ",""))=3),'Special Help Table'!$A28)</f>
        <v xml:space="preserve"> Matthew Barrett</v>
      </c>
      <c r="C28" s="4" t="s">
        <v>83</v>
      </c>
      <c r="D28" s="2"/>
      <c r="E28" s="2" t="s">
        <v>16</v>
      </c>
      <c r="F28" s="2" t="s">
        <v>28</v>
      </c>
      <c r="G28" s="2"/>
      <c r="H28" s="2"/>
      <c r="I28" s="2"/>
      <c r="J28" s="2"/>
      <c r="K28" s="3"/>
      <c r="L28" s="2"/>
      <c r="M28" s="2"/>
      <c r="N28" s="2" t="s">
        <v>18</v>
      </c>
    </row>
    <row r="29" spans="1:14" ht="15.75" customHeight="1" x14ac:dyDescent="0.35">
      <c r="A29" s="2" t="s">
        <v>84</v>
      </c>
      <c r="B29" s="2" t="str" cm="1">
        <f t="array" ref="B29">_xlfn.IFS(AND(LEN('Special Help Table'!$A29)-(LEN(SUBSTITUTE('Special Help Table'!$A29,";","")))=0,LEN('Special Help Table'!$A29)-LEN(SUBSTITUTE('Special Help Table'!$A29,",",""))=1,LEN('Special Help Table'!$A29)-LEN(SUBSTITUTE('Special Help Table'!$A29,"and ",""))=0),MID('Special Help Table'!$A29&amp;" "&amp;'Special Help Table'!$A29,SEARCH(", ",'Special Help Table'!$A29)+1,LEN('Special Help Table'!$A29)),AND(LEN('Special Help Table'!$A29)-(LEN(SUBSTITUTE('Special Help Table'!$A29,";","")))=1,LEN('Special Help Table'!$A29)-LEN(SUBSTITUTE('Special Help Table'!$A29,"and ",""))=0),MID('Special Help Table'!$A29,SEARCH(",",'Special Help Table'!$A29)+1,(SEARCH(";",'Special Help Table'!$A29)-1)-SEARCH(",",'Special Help Table'!$A29))&amp;" "&amp;LEFT('Special Help Table'!$A29,SEARCH(",",'Special Help Table'!$A29)-1)&amp;";"&amp;RIGHT('Special Help Table'!$A29,LEN('Special Help Table'!$A29)-SEARCH(",",'Special Help Table'!$A29,SEARCH(";",'Special Help Table'!$A29)))&amp;" "&amp;MID('Special Help Table'!$A29,SEARCH("; ",'Special Help Table'!$A29)+2,SEARCH(",",'Special Help Table'!$A29,SEARCH(";",'Special Help Table'!$A29))-SEARCH(";",'Special Help Table'!$A29)-2),AND(LEN('Special Help Table'!$A29)-LEN(SUBSTITUTE('Special Help Table'!$A29,"and ",""))=0,LEN('Special Help Table'!$A29)-LEN(SUBSTITUTE('Special Help Table'!$A29,";",""))=0),'Special Help Table'!$A29,AND(LEN('Special Help Table'!$A29)-LEN(SUBSTITUTE('Special Help Table'!$A29,",","")=1),LEN('Special Help Table'!$A29)-LEN(SUBSTITUTE('Special Help Table'!$A29," ","")=20),LEN('Special Help Table'!$A29)-LEN(SUBSTITUTE('Special Help Table'!$A29," and",""))=0,LEN('Special Help Table'!$A29)-LEN(SUBSTITUTE('Special Help Table'!$A29,",","",FIND(" ",'Special Help Table'!$A29)+1))=0),RIGHT('Special Help Table'!$A29,LEN('Special Help Table'!$A29)-FIND(", ",'Special Help Table'!$A29))&amp;" "&amp;LEFT('Special Help Table'!$A29,FIND(",",'Special Help Table'!$A29)-1),AND(LEN('Special Help Table'!$A29)-LEN(SUBSTITUTE('Special Help Table'!$A29,"editor",""))=6,LEN('Special Help Table'!$A29)-LEN(SUBSTITUTE('Special Help Table'!$A29,"(",""))=0,LEN('Special Help Table'!$A29)-LEN(SUBSTITUTE('Special Help Table'!$A29,"and",""))=3,LEN('Special Help Table'!$A29)-LEN(SUBSTITUTE('Special Help Table'!$A29,",",""))=1,LEN('Special Help Table'!$A29)-LEN(SUBSTITUTE('Special Help Table'!$A29," ",""))=3),'Special Help Table'!$A29)</f>
        <v xml:space="preserve"> Rick Barry</v>
      </c>
      <c r="C29" s="4" t="s">
        <v>85</v>
      </c>
      <c r="D29" s="2"/>
      <c r="E29" s="2" t="s">
        <v>16</v>
      </c>
      <c r="F29" s="2" t="s">
        <v>72</v>
      </c>
      <c r="G29" s="2"/>
      <c r="H29" s="2"/>
      <c r="I29" s="2"/>
      <c r="J29" s="2"/>
      <c r="K29" s="3">
        <v>41164</v>
      </c>
      <c r="L29" s="2"/>
      <c r="M29" s="2"/>
      <c r="N29" s="2" t="s">
        <v>18</v>
      </c>
    </row>
    <row r="30" spans="1:14" ht="15.75" customHeight="1" x14ac:dyDescent="0.35">
      <c r="A30" s="2" t="s">
        <v>86</v>
      </c>
      <c r="B30" s="2" t="str" cm="1">
        <f t="array" ref="B30">_xlfn.IFS(AND(LEN('Special Help Table'!$A30)-(LEN(SUBSTITUTE('Special Help Table'!$A30,";","")))=0,LEN('Special Help Table'!$A30)-LEN(SUBSTITUTE('Special Help Table'!$A30,",",""))=1,LEN('Special Help Table'!$A30)-LEN(SUBSTITUTE('Special Help Table'!$A30,"and ",""))=0),MID('Special Help Table'!$A30&amp;" "&amp;'Special Help Table'!$A30,SEARCH(", ",'Special Help Table'!$A30)+1,LEN('Special Help Table'!$A30)),AND(LEN('Special Help Table'!$A30)-(LEN(SUBSTITUTE('Special Help Table'!$A30,";","")))=1,LEN('Special Help Table'!$A30)-LEN(SUBSTITUTE('Special Help Table'!$A30,"and ",""))=0),MID('Special Help Table'!$A30,SEARCH(",",'Special Help Table'!$A30)+1,(SEARCH(";",'Special Help Table'!$A30)-1)-SEARCH(",",'Special Help Table'!$A30))&amp;" "&amp;LEFT('Special Help Table'!$A30,SEARCH(",",'Special Help Table'!$A30)-1)&amp;";"&amp;RIGHT('Special Help Table'!$A30,LEN('Special Help Table'!$A30)-SEARCH(",",'Special Help Table'!$A30,SEARCH(";",'Special Help Table'!$A30)))&amp;" "&amp;MID('Special Help Table'!$A30,SEARCH("; ",'Special Help Table'!$A30)+2,SEARCH(",",'Special Help Table'!$A30,SEARCH(";",'Special Help Table'!$A30))-SEARCH(";",'Special Help Table'!$A30)-2),AND(LEN('Special Help Table'!$A30)-LEN(SUBSTITUTE('Special Help Table'!$A30,"and ",""))=0,LEN('Special Help Table'!$A30)-LEN(SUBSTITUTE('Special Help Table'!$A30,";",""))=0),'Special Help Table'!$A30,AND(LEN('Special Help Table'!$A30)-LEN(SUBSTITUTE('Special Help Table'!$A30,",","")=1),LEN('Special Help Table'!$A30)-LEN(SUBSTITUTE('Special Help Table'!$A30," ","")=20),LEN('Special Help Table'!$A30)-LEN(SUBSTITUTE('Special Help Table'!$A30," and",""))=0,LEN('Special Help Table'!$A30)-LEN(SUBSTITUTE('Special Help Table'!$A30,",","",FIND(" ",'Special Help Table'!$A30)+1))=0),RIGHT('Special Help Table'!$A30,LEN('Special Help Table'!$A30)-FIND(", ",'Special Help Table'!$A30))&amp;" "&amp;LEFT('Special Help Table'!$A30,FIND(",",'Special Help Table'!$A30)-1),AND(LEN('Special Help Table'!$A30)-LEN(SUBSTITUTE('Special Help Table'!$A30,"editor",""))=6,LEN('Special Help Table'!$A30)-LEN(SUBSTITUTE('Special Help Table'!$A30,"(",""))=0,LEN('Special Help Table'!$A30)-LEN(SUBSTITUTE('Special Help Table'!$A30,"and",""))=3,LEN('Special Help Table'!$A30)-LEN(SUBSTITUTE('Special Help Table'!$A30,",",""))=1,LEN('Special Help Table'!$A30)-LEN(SUBSTITUTE('Special Help Table'!$A30," ",""))=3),'Special Help Table'!$A30)</f>
        <v xml:space="preserve"> Richard Baxter</v>
      </c>
      <c r="C30" s="4" t="s">
        <v>87</v>
      </c>
      <c r="D30" s="2" t="s">
        <v>88</v>
      </c>
      <c r="E30" s="2" t="s">
        <v>16</v>
      </c>
      <c r="F30" s="2" t="s">
        <v>17</v>
      </c>
      <c r="G30" s="2"/>
      <c r="H30" s="2"/>
      <c r="I30" s="2"/>
      <c r="J30" s="2" t="s">
        <v>89</v>
      </c>
      <c r="K30" s="3"/>
      <c r="L30" s="2"/>
      <c r="M30" s="2"/>
      <c r="N30" s="2" t="s">
        <v>18</v>
      </c>
    </row>
    <row r="31" spans="1:14" ht="15.75" customHeight="1" x14ac:dyDescent="0.35">
      <c r="A31" s="2" t="s">
        <v>90</v>
      </c>
      <c r="B31" s="2" t="str" cm="1">
        <f t="array" ref="B31">_xlfn.IFS(AND(LEN('Special Help Table'!$A31)-(LEN(SUBSTITUTE('Special Help Table'!$A31,";","")))=0,LEN('Special Help Table'!$A31)-LEN(SUBSTITUTE('Special Help Table'!$A31,",",""))=1,LEN('Special Help Table'!$A31)-LEN(SUBSTITUTE('Special Help Table'!$A31,"and ",""))=0),MID('Special Help Table'!$A31&amp;" "&amp;'Special Help Table'!$A31,SEARCH(", ",'Special Help Table'!$A31)+1,LEN('Special Help Table'!$A31)),AND(LEN('Special Help Table'!$A31)-(LEN(SUBSTITUTE('Special Help Table'!$A31,";","")))=1,LEN('Special Help Table'!$A31)-LEN(SUBSTITUTE('Special Help Table'!$A31,"and ",""))=0),MID('Special Help Table'!$A31,SEARCH(",",'Special Help Table'!$A31)+1,(SEARCH(";",'Special Help Table'!$A31)-1)-SEARCH(",",'Special Help Table'!$A31))&amp;" "&amp;LEFT('Special Help Table'!$A31,SEARCH(",",'Special Help Table'!$A31)-1)&amp;";"&amp;RIGHT('Special Help Table'!$A31,LEN('Special Help Table'!$A31)-SEARCH(",",'Special Help Table'!$A31,SEARCH(";",'Special Help Table'!$A31)))&amp;" "&amp;MID('Special Help Table'!$A31,SEARCH("; ",'Special Help Table'!$A31)+2,SEARCH(",",'Special Help Table'!$A31,SEARCH(";",'Special Help Table'!$A31))-SEARCH(";",'Special Help Table'!$A31)-2),AND(LEN('Special Help Table'!$A31)-LEN(SUBSTITUTE('Special Help Table'!$A31,"and ",""))=0,LEN('Special Help Table'!$A31)-LEN(SUBSTITUTE('Special Help Table'!$A31,";",""))=0),'Special Help Table'!$A31,AND(LEN('Special Help Table'!$A31)-LEN(SUBSTITUTE('Special Help Table'!$A31,",","")=1),LEN('Special Help Table'!$A31)-LEN(SUBSTITUTE('Special Help Table'!$A31," ","")=20),LEN('Special Help Table'!$A31)-LEN(SUBSTITUTE('Special Help Table'!$A31," and",""))=0,LEN('Special Help Table'!$A31)-LEN(SUBSTITUTE('Special Help Table'!$A31,",","",FIND(" ",'Special Help Table'!$A31)+1))=0),RIGHT('Special Help Table'!$A31,LEN('Special Help Table'!$A31)-FIND(", ",'Special Help Table'!$A31))&amp;" "&amp;LEFT('Special Help Table'!$A31,FIND(",",'Special Help Table'!$A31)-1),AND(LEN('Special Help Table'!$A31)-LEN(SUBSTITUTE('Special Help Table'!$A31,"editor",""))=6,LEN('Special Help Table'!$A31)-LEN(SUBSTITUTE('Special Help Table'!$A31,"(",""))=0,LEN('Special Help Table'!$A31)-LEN(SUBSTITUTE('Special Help Table'!$A31,"and",""))=3,LEN('Special Help Table'!$A31)-LEN(SUBSTITUTE('Special Help Table'!$A31,",",""))=1,LEN('Special Help Table'!$A31)-LEN(SUBSTITUTE('Special Help Table'!$A31," ",""))=3),'Special Help Table'!$A31)</f>
        <v>Beale and Carson, editors</v>
      </c>
      <c r="C31" s="4" t="s">
        <v>91</v>
      </c>
      <c r="D31" s="2"/>
      <c r="E31" s="2" t="s">
        <v>16</v>
      </c>
      <c r="F31" s="2" t="s">
        <v>92</v>
      </c>
      <c r="G31" s="2"/>
      <c r="H31" s="2"/>
      <c r="I31" s="2"/>
      <c r="J31" s="2"/>
      <c r="K31" s="3">
        <v>41346</v>
      </c>
      <c r="L31" s="2"/>
      <c r="M31" s="2"/>
      <c r="N31" s="2" t="s">
        <v>18</v>
      </c>
    </row>
    <row r="32" spans="1:14" ht="15.75" customHeight="1" x14ac:dyDescent="0.35">
      <c r="A32" s="2" t="s">
        <v>93</v>
      </c>
      <c r="B32" s="2" t="str" cm="1">
        <f t="array" ref="B32">_xlfn.IFS(AND(LEN('Special Help Table'!$A32)-(LEN(SUBSTITUTE('Special Help Table'!$A32,";","")))=0,LEN('Special Help Table'!$A32)-LEN(SUBSTITUTE('Special Help Table'!$A32,",",""))=1,LEN('Special Help Table'!$A32)-LEN(SUBSTITUTE('Special Help Table'!$A32,"and ",""))=0),MID('Special Help Table'!$A32&amp;" "&amp;'Special Help Table'!$A32,SEARCH(", ",'Special Help Table'!$A32)+1,LEN('Special Help Table'!$A32)),AND(LEN('Special Help Table'!$A32)-(LEN(SUBSTITUTE('Special Help Table'!$A32,";","")))=1,LEN('Special Help Table'!$A32)-LEN(SUBSTITUTE('Special Help Table'!$A32,"and ",""))=0),MID('Special Help Table'!$A32,SEARCH(",",'Special Help Table'!$A32)+1,(SEARCH(";",'Special Help Table'!$A32)-1)-SEARCH(",",'Special Help Table'!$A32))&amp;" "&amp;LEFT('Special Help Table'!$A32,SEARCH(",",'Special Help Table'!$A32)-1)&amp;";"&amp;RIGHT('Special Help Table'!$A32,LEN('Special Help Table'!$A32)-SEARCH(",",'Special Help Table'!$A32,SEARCH(";",'Special Help Table'!$A32)))&amp;" "&amp;MID('Special Help Table'!$A32,SEARCH("; ",'Special Help Table'!$A32)+2,SEARCH(",",'Special Help Table'!$A32,SEARCH(";",'Special Help Table'!$A32))-SEARCH(";",'Special Help Table'!$A32)-2),AND(LEN('Special Help Table'!$A32)-LEN(SUBSTITUTE('Special Help Table'!$A32,"and ",""))=0,LEN('Special Help Table'!$A32)-LEN(SUBSTITUTE('Special Help Table'!$A32,";",""))=0),'Special Help Table'!$A32,AND(LEN('Special Help Table'!$A32)-LEN(SUBSTITUTE('Special Help Table'!$A32,",","")=1),LEN('Special Help Table'!$A32)-LEN(SUBSTITUTE('Special Help Table'!$A32," ","")=20),LEN('Special Help Table'!$A32)-LEN(SUBSTITUTE('Special Help Table'!$A32," and",""))=0,LEN('Special Help Table'!$A32)-LEN(SUBSTITUTE('Special Help Table'!$A32,",","",FIND(" ",'Special Help Table'!$A32)+1))=0),RIGHT('Special Help Table'!$A32,LEN('Special Help Table'!$A32)-FIND(", ",'Special Help Table'!$A32))&amp;" "&amp;LEFT('Special Help Table'!$A32,FIND(",",'Special Help Table'!$A32)-1),AND(LEN('Special Help Table'!$A32)-LEN(SUBSTITUTE('Special Help Table'!$A32,"editor",""))=6,LEN('Special Help Table'!$A32)-LEN(SUBSTITUTE('Special Help Table'!$A32,"(",""))=0,LEN('Special Help Table'!$A32)-LEN(SUBSTITUTE('Special Help Table'!$A32,"and",""))=3,LEN('Special Help Table'!$A32)-LEN(SUBSTITUTE('Special Help Table'!$A32,",",""))=1,LEN('Special Help Table'!$A32)-LEN(SUBSTITUTE('Special Help Table'!$A32," ",""))=3),'Special Help Table'!$A32)</f>
        <v xml:space="preserve"> David Beale</v>
      </c>
      <c r="C32" s="2" t="s">
        <v>94</v>
      </c>
      <c r="D32" s="2"/>
      <c r="E32" s="2" t="s">
        <v>16</v>
      </c>
      <c r="F32" s="2" t="s">
        <v>76</v>
      </c>
      <c r="G32" s="2"/>
      <c r="H32" s="2"/>
      <c r="I32" s="2"/>
      <c r="J32" s="2" t="s">
        <v>77</v>
      </c>
      <c r="K32" s="3">
        <v>41287</v>
      </c>
      <c r="L32" s="2"/>
      <c r="M32" s="2"/>
      <c r="N32" s="2" t="s">
        <v>18</v>
      </c>
    </row>
    <row r="33" spans="1:14" ht="15.75" customHeight="1" x14ac:dyDescent="0.35">
      <c r="A33" s="2" t="s">
        <v>95</v>
      </c>
      <c r="B33" s="2" t="str" cm="1">
        <f t="array" ref="B33">_xlfn.IFS(AND(LEN('Special Help Table'!$A33)-(LEN(SUBSTITUTE('Special Help Table'!$A33,";","")))=0,LEN('Special Help Table'!$A33)-LEN(SUBSTITUTE('Special Help Table'!$A33,",",""))=1,LEN('Special Help Table'!$A33)-LEN(SUBSTITUTE('Special Help Table'!$A33,"and ",""))=0),MID('Special Help Table'!$A33&amp;" "&amp;'Special Help Table'!$A33,SEARCH(", ",'Special Help Table'!$A33)+1,LEN('Special Help Table'!$A33)),AND(LEN('Special Help Table'!$A33)-(LEN(SUBSTITUTE('Special Help Table'!$A33,";","")))=1,LEN('Special Help Table'!$A33)-LEN(SUBSTITUTE('Special Help Table'!$A33,"and ",""))=0),MID('Special Help Table'!$A33,SEARCH(",",'Special Help Table'!$A33)+1,(SEARCH(";",'Special Help Table'!$A33)-1)-SEARCH(",",'Special Help Table'!$A33))&amp;" "&amp;LEFT('Special Help Table'!$A33,SEARCH(",",'Special Help Table'!$A33)-1)&amp;";"&amp;RIGHT('Special Help Table'!$A33,LEN('Special Help Table'!$A33)-SEARCH(",",'Special Help Table'!$A33,SEARCH(";",'Special Help Table'!$A33)))&amp;" "&amp;MID('Special Help Table'!$A33,SEARCH("; ",'Special Help Table'!$A33)+2,SEARCH(",",'Special Help Table'!$A33,SEARCH(";",'Special Help Table'!$A33))-SEARCH(";",'Special Help Table'!$A33)-2),AND(LEN('Special Help Table'!$A33)-LEN(SUBSTITUTE('Special Help Table'!$A33,"and ",""))=0,LEN('Special Help Table'!$A33)-LEN(SUBSTITUTE('Special Help Table'!$A33,";",""))=0),'Special Help Table'!$A33,AND(LEN('Special Help Table'!$A33)-LEN(SUBSTITUTE('Special Help Table'!$A33,",","")=1),LEN('Special Help Table'!$A33)-LEN(SUBSTITUTE('Special Help Table'!$A33," ","")=20),LEN('Special Help Table'!$A33)-LEN(SUBSTITUTE('Special Help Table'!$A33," and",""))=0,LEN('Special Help Table'!$A33)-LEN(SUBSTITUTE('Special Help Table'!$A33,",","",FIND(" ",'Special Help Table'!$A33)+1))=0),RIGHT('Special Help Table'!$A33,LEN('Special Help Table'!$A33)-FIND(", ",'Special Help Table'!$A33))&amp;" "&amp;LEFT('Special Help Table'!$A33,FIND(",",'Special Help Table'!$A33)-1),AND(LEN('Special Help Table'!$A33)-LEN(SUBSTITUTE('Special Help Table'!$A33,"editor",""))=6,LEN('Special Help Table'!$A33)-LEN(SUBSTITUTE('Special Help Table'!$A33,"(",""))=0,LEN('Special Help Table'!$A33)-LEN(SUBSTITUTE('Special Help Table'!$A33,"and",""))=3,LEN('Special Help Table'!$A33)-LEN(SUBSTITUTE('Special Help Table'!$A33,",",""))=1,LEN('Special Help Table'!$A33)-LEN(SUBSTITUTE('Special Help Table'!$A33," ",""))=3),'Special Help Table'!$A33)</f>
        <v xml:space="preserve"> Joel Beeke</v>
      </c>
      <c r="C33" s="4" t="s">
        <v>96</v>
      </c>
      <c r="D33" s="2"/>
      <c r="E33" s="2" t="s">
        <v>16</v>
      </c>
      <c r="F33" s="2" t="s">
        <v>36</v>
      </c>
      <c r="G33" s="2"/>
      <c r="H33" s="2"/>
      <c r="I33" s="2"/>
      <c r="J33" s="2" t="s">
        <v>97</v>
      </c>
      <c r="K33" s="3">
        <v>41560</v>
      </c>
      <c r="L33" s="2"/>
      <c r="M33" s="2"/>
      <c r="N33" s="2" t="s">
        <v>18</v>
      </c>
    </row>
    <row r="34" spans="1:14" ht="15.75" customHeight="1" x14ac:dyDescent="0.35">
      <c r="A34" s="2" t="s">
        <v>98</v>
      </c>
      <c r="B34" s="2" t="str" cm="1">
        <f t="array" ref="B34">_xlfn.IFS(AND(LEN('Special Help Table'!$A34)-(LEN(SUBSTITUTE('Special Help Table'!$A34,";","")))=0,LEN('Special Help Table'!$A34)-LEN(SUBSTITUTE('Special Help Table'!$A34,",",""))=1,LEN('Special Help Table'!$A34)-LEN(SUBSTITUTE('Special Help Table'!$A34,"and ",""))=0),MID('Special Help Table'!$A34&amp;" "&amp;'Special Help Table'!$A34,SEARCH(", ",'Special Help Table'!$A34)+1,LEN('Special Help Table'!$A34)),AND(LEN('Special Help Table'!$A34)-(LEN(SUBSTITUTE('Special Help Table'!$A34,";","")))=1,LEN('Special Help Table'!$A34)-LEN(SUBSTITUTE('Special Help Table'!$A34,"and ",""))=0),MID('Special Help Table'!$A34,SEARCH(",",'Special Help Table'!$A34)+1,(SEARCH(";",'Special Help Table'!$A34)-1)-SEARCH(",",'Special Help Table'!$A34))&amp;" "&amp;LEFT('Special Help Table'!$A34,SEARCH(",",'Special Help Table'!$A34)-1)&amp;";"&amp;RIGHT('Special Help Table'!$A34,LEN('Special Help Table'!$A34)-SEARCH(",",'Special Help Table'!$A34,SEARCH(";",'Special Help Table'!$A34)))&amp;" "&amp;MID('Special Help Table'!$A34,SEARCH("; ",'Special Help Table'!$A34)+2,SEARCH(",",'Special Help Table'!$A34,SEARCH(";",'Special Help Table'!$A34))-SEARCH(";",'Special Help Table'!$A34)-2),AND(LEN('Special Help Table'!$A34)-LEN(SUBSTITUTE('Special Help Table'!$A34,"and ",""))=0,LEN('Special Help Table'!$A34)-LEN(SUBSTITUTE('Special Help Table'!$A34,";",""))=0),'Special Help Table'!$A34,AND(LEN('Special Help Table'!$A34)-LEN(SUBSTITUTE('Special Help Table'!$A34,",","")=1),LEN('Special Help Table'!$A34)-LEN(SUBSTITUTE('Special Help Table'!$A34," ","")=20),LEN('Special Help Table'!$A34)-LEN(SUBSTITUTE('Special Help Table'!$A34," and",""))=0,LEN('Special Help Table'!$A34)-LEN(SUBSTITUTE('Special Help Table'!$A34,",","",FIND(" ",'Special Help Table'!$A34)+1))=0),RIGHT('Special Help Table'!$A34,LEN('Special Help Table'!$A34)-FIND(", ",'Special Help Table'!$A34))&amp;" "&amp;LEFT('Special Help Table'!$A34,FIND(",",'Special Help Table'!$A34)-1),AND(LEN('Special Help Table'!$A34)-LEN(SUBSTITUTE('Special Help Table'!$A34,"editor",""))=6,LEN('Special Help Table'!$A34)-LEN(SUBSTITUTE('Special Help Table'!$A34,"(",""))=0,LEN('Special Help Table'!$A34)-LEN(SUBSTITUTE('Special Help Table'!$A34,"and",""))=3,LEN('Special Help Table'!$A34)-LEN(SUBSTITUTE('Special Help Table'!$A34,",",""))=1,LEN('Special Help Table'!$A34)-LEN(SUBSTITUTE('Special Help Table'!$A34," ",""))=3),'Special Help Table'!$A34)</f>
        <v xml:space="preserve"> Joel R Beeke</v>
      </c>
      <c r="C34" s="4" t="s">
        <v>99</v>
      </c>
      <c r="D34" s="2"/>
      <c r="E34" s="2" t="s">
        <v>16</v>
      </c>
      <c r="F34" s="2" t="s">
        <v>17</v>
      </c>
      <c r="G34" s="2"/>
      <c r="H34" s="2"/>
      <c r="I34" s="2" t="s">
        <v>100</v>
      </c>
      <c r="J34" s="2" t="s">
        <v>100</v>
      </c>
      <c r="K34" s="3">
        <v>40980</v>
      </c>
      <c r="L34" s="2"/>
      <c r="M34" s="2"/>
      <c r="N34" s="2" t="s">
        <v>18</v>
      </c>
    </row>
    <row r="35" spans="1:14" ht="15.75" customHeight="1" x14ac:dyDescent="0.35">
      <c r="A35" s="2" t="s">
        <v>101</v>
      </c>
      <c r="B35" s="2" t="e" cm="1">
        <f t="array" ref="B35">_xlfn.IFS(AND(LEN('Special Help Table'!$A35)-(LEN(SUBSTITUTE('Special Help Table'!$A35,";","")))=0,LEN('Special Help Table'!$A35)-LEN(SUBSTITUTE('Special Help Table'!$A35,",",""))=1,LEN('Special Help Table'!$A35)-LEN(SUBSTITUTE('Special Help Table'!$A35,"and ",""))=0),MID('Special Help Table'!$A35&amp;" "&amp;'Special Help Table'!$A35,SEARCH(", ",'Special Help Table'!$A35)+1,LEN('Special Help Table'!$A35)),AND(LEN('Special Help Table'!$A35)-(LEN(SUBSTITUTE('Special Help Table'!$A35,";","")))=1,LEN('Special Help Table'!$A35)-LEN(SUBSTITUTE('Special Help Table'!$A35,"and ",""))=0),MID('Special Help Table'!$A35,SEARCH(",",'Special Help Table'!$A35)+1,(SEARCH(";",'Special Help Table'!$A35)-1)-SEARCH(",",'Special Help Table'!$A35))&amp;" "&amp;LEFT('Special Help Table'!$A35,SEARCH(",",'Special Help Table'!$A35)-1)&amp;";"&amp;RIGHT('Special Help Table'!$A35,LEN('Special Help Table'!$A35)-SEARCH(",",'Special Help Table'!$A35,SEARCH(";",'Special Help Table'!$A35)))&amp;" "&amp;MID('Special Help Table'!$A35,SEARCH("; ",'Special Help Table'!$A35)+2,SEARCH(",",'Special Help Table'!$A35,SEARCH(";",'Special Help Table'!$A35))-SEARCH(";",'Special Help Table'!$A35)-2),AND(LEN('Special Help Table'!$A35)-LEN(SUBSTITUTE('Special Help Table'!$A35,"and ",""))=0,LEN('Special Help Table'!$A35)-LEN(SUBSTITUTE('Special Help Table'!$A35,";",""))=0),'Special Help Table'!$A35,AND(LEN('Special Help Table'!$A35)-LEN(SUBSTITUTE('Special Help Table'!$A35,",","")=1),LEN('Special Help Table'!$A35)-LEN(SUBSTITUTE('Special Help Table'!$A35," ","")=20),LEN('Special Help Table'!$A35)-LEN(SUBSTITUTE('Special Help Table'!$A35," and",""))=0,LEN('Special Help Table'!$A35)-LEN(SUBSTITUTE('Special Help Table'!$A35,",","",FIND(" ",'Special Help Table'!$A35)+1))=0),RIGHT('Special Help Table'!$A35,LEN('Special Help Table'!$A35)-FIND(", ",'Special Help Table'!$A35))&amp;" "&amp;LEFT('Special Help Table'!$A35,FIND(",",'Special Help Table'!$A35)-1),AND(LEN('Special Help Table'!$A35)-LEN(SUBSTITUTE('Special Help Table'!$A35,"editor",""))=6,LEN('Special Help Table'!$A35)-LEN(SUBSTITUTE('Special Help Table'!$A35,"(",""))=0,LEN('Special Help Table'!$A35)-LEN(SUBSTITUTE('Special Help Table'!$A35,"and",""))=3,LEN('Special Help Table'!$A35)-LEN(SUBSTITUTE('Special Help Table'!$A35,",",""))=1,LEN('Special Help Table'!$A35)-LEN(SUBSTITUTE('Special Help Table'!$A35," ",""))=3),'Special Help Table'!$A35)</f>
        <v>#N/A</v>
      </c>
      <c r="C35" s="4" t="s">
        <v>102</v>
      </c>
      <c r="D35" s="2"/>
      <c r="E35" s="2" t="s">
        <v>16</v>
      </c>
      <c r="F35" s="2" t="s">
        <v>72</v>
      </c>
      <c r="G35" s="2"/>
      <c r="H35" s="2"/>
      <c r="I35" s="2"/>
      <c r="J35" s="2"/>
      <c r="K35" s="3">
        <v>41041</v>
      </c>
      <c r="L35" s="2"/>
      <c r="M35" s="2"/>
      <c r="N35" s="2" t="s">
        <v>18</v>
      </c>
    </row>
    <row r="36" spans="1:14" ht="15.75" customHeight="1" x14ac:dyDescent="0.35">
      <c r="A36" s="2" t="s">
        <v>101</v>
      </c>
      <c r="B36" s="2" t="e" cm="1">
        <f t="array" ref="B36">_xlfn.IFS(AND(LEN('Special Help Table'!$A36)-(LEN(SUBSTITUTE('Special Help Table'!$A36,";","")))=0,LEN('Special Help Table'!$A36)-LEN(SUBSTITUTE('Special Help Table'!$A36,",",""))=1,LEN('Special Help Table'!$A36)-LEN(SUBSTITUTE('Special Help Table'!$A36,"and ",""))=0),MID('Special Help Table'!$A36&amp;" "&amp;'Special Help Table'!$A36,SEARCH(", ",'Special Help Table'!$A36)+1,LEN('Special Help Table'!$A36)),AND(LEN('Special Help Table'!$A36)-(LEN(SUBSTITUTE('Special Help Table'!$A36,";","")))=1,LEN('Special Help Table'!$A36)-LEN(SUBSTITUTE('Special Help Table'!$A36,"and ",""))=0),MID('Special Help Table'!$A36,SEARCH(",",'Special Help Table'!$A36)+1,(SEARCH(";",'Special Help Table'!$A36)-1)-SEARCH(",",'Special Help Table'!$A36))&amp;" "&amp;LEFT('Special Help Table'!$A36,SEARCH(",",'Special Help Table'!$A36)-1)&amp;";"&amp;RIGHT('Special Help Table'!$A36,LEN('Special Help Table'!$A36)-SEARCH(",",'Special Help Table'!$A36,SEARCH(";",'Special Help Table'!$A36)))&amp;" "&amp;MID('Special Help Table'!$A36,SEARCH("; ",'Special Help Table'!$A36)+2,SEARCH(",",'Special Help Table'!$A36,SEARCH(";",'Special Help Table'!$A36))-SEARCH(";",'Special Help Table'!$A36)-2),AND(LEN('Special Help Table'!$A36)-LEN(SUBSTITUTE('Special Help Table'!$A36,"and ",""))=0,LEN('Special Help Table'!$A36)-LEN(SUBSTITUTE('Special Help Table'!$A36,";",""))=0),'Special Help Table'!$A36,AND(LEN('Special Help Table'!$A36)-LEN(SUBSTITUTE('Special Help Table'!$A36,",","")=1),LEN('Special Help Table'!$A36)-LEN(SUBSTITUTE('Special Help Table'!$A36," ","")=20),LEN('Special Help Table'!$A36)-LEN(SUBSTITUTE('Special Help Table'!$A36," and",""))=0,LEN('Special Help Table'!$A36)-LEN(SUBSTITUTE('Special Help Table'!$A36,",","",FIND(" ",'Special Help Table'!$A36)+1))=0),RIGHT('Special Help Table'!$A36,LEN('Special Help Table'!$A36)-FIND(", ",'Special Help Table'!$A36))&amp;" "&amp;LEFT('Special Help Table'!$A36,FIND(",",'Special Help Table'!$A36)-1),AND(LEN('Special Help Table'!$A36)-LEN(SUBSTITUTE('Special Help Table'!$A36,"editor",""))=6,LEN('Special Help Table'!$A36)-LEN(SUBSTITUTE('Special Help Table'!$A36,"(",""))=0,LEN('Special Help Table'!$A36)-LEN(SUBSTITUTE('Special Help Table'!$A36,"and",""))=3,LEN('Special Help Table'!$A36)-LEN(SUBSTITUTE('Special Help Table'!$A36,",",""))=1,LEN('Special Help Table'!$A36)-LEN(SUBSTITUTE('Special Help Table'!$A36," ",""))=3),'Special Help Table'!$A36)</f>
        <v>#N/A</v>
      </c>
      <c r="C36" s="4" t="s">
        <v>103</v>
      </c>
      <c r="D36" s="2"/>
      <c r="E36" s="2" t="s">
        <v>16</v>
      </c>
      <c r="F36" s="2" t="s">
        <v>72</v>
      </c>
      <c r="G36" s="2"/>
      <c r="H36" s="2"/>
      <c r="I36" s="2"/>
      <c r="J36" s="2"/>
      <c r="K36" s="3">
        <v>41044</v>
      </c>
      <c r="L36" s="2"/>
      <c r="M36" s="2"/>
      <c r="N36" s="2" t="s">
        <v>18</v>
      </c>
    </row>
    <row r="37" spans="1:14" ht="15.75" customHeight="1" x14ac:dyDescent="0.35">
      <c r="A37" s="2" t="s">
        <v>101</v>
      </c>
      <c r="B37" s="2" t="e" cm="1">
        <f t="array" ref="B37">_xlfn.IFS(AND(LEN('Special Help Table'!$A37)-(LEN(SUBSTITUTE('Special Help Table'!$A37,";","")))=0,LEN('Special Help Table'!$A37)-LEN(SUBSTITUTE('Special Help Table'!$A37,",",""))=1,LEN('Special Help Table'!$A37)-LEN(SUBSTITUTE('Special Help Table'!$A37,"and ",""))=0),MID('Special Help Table'!$A37&amp;" "&amp;'Special Help Table'!$A37,SEARCH(", ",'Special Help Table'!$A37)+1,LEN('Special Help Table'!$A37)),AND(LEN('Special Help Table'!$A37)-(LEN(SUBSTITUTE('Special Help Table'!$A37,";","")))=1,LEN('Special Help Table'!$A37)-LEN(SUBSTITUTE('Special Help Table'!$A37,"and ",""))=0),MID('Special Help Table'!$A37,SEARCH(",",'Special Help Table'!$A37)+1,(SEARCH(";",'Special Help Table'!$A37)-1)-SEARCH(",",'Special Help Table'!$A37))&amp;" "&amp;LEFT('Special Help Table'!$A37,SEARCH(",",'Special Help Table'!$A37)-1)&amp;";"&amp;RIGHT('Special Help Table'!$A37,LEN('Special Help Table'!$A37)-SEARCH(",",'Special Help Table'!$A37,SEARCH(";",'Special Help Table'!$A37)))&amp;" "&amp;MID('Special Help Table'!$A37,SEARCH("; ",'Special Help Table'!$A37)+2,SEARCH(",",'Special Help Table'!$A37,SEARCH(";",'Special Help Table'!$A37))-SEARCH(";",'Special Help Table'!$A37)-2),AND(LEN('Special Help Table'!$A37)-LEN(SUBSTITUTE('Special Help Table'!$A37,"and ",""))=0,LEN('Special Help Table'!$A37)-LEN(SUBSTITUTE('Special Help Table'!$A37,";",""))=0),'Special Help Table'!$A37,AND(LEN('Special Help Table'!$A37)-LEN(SUBSTITUTE('Special Help Table'!$A37,",","")=1),LEN('Special Help Table'!$A37)-LEN(SUBSTITUTE('Special Help Table'!$A37," ","")=20),LEN('Special Help Table'!$A37)-LEN(SUBSTITUTE('Special Help Table'!$A37," and",""))=0,LEN('Special Help Table'!$A37)-LEN(SUBSTITUTE('Special Help Table'!$A37,",","",FIND(" ",'Special Help Table'!$A37)+1))=0),RIGHT('Special Help Table'!$A37,LEN('Special Help Table'!$A37)-FIND(", ",'Special Help Table'!$A37))&amp;" "&amp;LEFT('Special Help Table'!$A37,FIND(",",'Special Help Table'!$A37)-1),AND(LEN('Special Help Table'!$A37)-LEN(SUBSTITUTE('Special Help Table'!$A37,"editor",""))=6,LEN('Special Help Table'!$A37)-LEN(SUBSTITUTE('Special Help Table'!$A37,"(",""))=0,LEN('Special Help Table'!$A37)-LEN(SUBSTITUTE('Special Help Table'!$A37,"and",""))=3,LEN('Special Help Table'!$A37)-LEN(SUBSTITUTE('Special Help Table'!$A37,",",""))=1,LEN('Special Help Table'!$A37)-LEN(SUBSTITUTE('Special Help Table'!$A37," ",""))=3),'Special Help Table'!$A37)</f>
        <v>#N/A</v>
      </c>
      <c r="C37" s="4" t="s">
        <v>104</v>
      </c>
      <c r="D37" s="2"/>
      <c r="E37" s="2" t="s">
        <v>16</v>
      </c>
      <c r="F37" s="2" t="s">
        <v>72</v>
      </c>
      <c r="G37" s="2"/>
      <c r="H37" s="2"/>
      <c r="I37" s="2"/>
      <c r="J37" s="2"/>
      <c r="K37" s="3">
        <v>41042</v>
      </c>
      <c r="L37" s="2"/>
      <c r="M37" s="2"/>
      <c r="N37" s="2" t="s">
        <v>18</v>
      </c>
    </row>
    <row r="38" spans="1:14" ht="15.75" customHeight="1" x14ac:dyDescent="0.35">
      <c r="A38" s="2" t="s">
        <v>101</v>
      </c>
      <c r="B38" s="2" t="e" cm="1">
        <f t="array" ref="B38">_xlfn.IFS(AND(LEN('Special Help Table'!$A38)-(LEN(SUBSTITUTE('Special Help Table'!$A38,";","")))=0,LEN('Special Help Table'!$A38)-LEN(SUBSTITUTE('Special Help Table'!$A38,",",""))=1,LEN('Special Help Table'!$A38)-LEN(SUBSTITUTE('Special Help Table'!$A38,"and ",""))=0),MID('Special Help Table'!$A38&amp;" "&amp;'Special Help Table'!$A38,SEARCH(", ",'Special Help Table'!$A38)+1,LEN('Special Help Table'!$A38)),AND(LEN('Special Help Table'!$A38)-(LEN(SUBSTITUTE('Special Help Table'!$A38,";","")))=1,LEN('Special Help Table'!$A38)-LEN(SUBSTITUTE('Special Help Table'!$A38,"and ",""))=0),MID('Special Help Table'!$A38,SEARCH(",",'Special Help Table'!$A38)+1,(SEARCH(";",'Special Help Table'!$A38)-1)-SEARCH(",",'Special Help Table'!$A38))&amp;" "&amp;LEFT('Special Help Table'!$A38,SEARCH(",",'Special Help Table'!$A38)-1)&amp;";"&amp;RIGHT('Special Help Table'!$A38,LEN('Special Help Table'!$A38)-SEARCH(",",'Special Help Table'!$A38,SEARCH(";",'Special Help Table'!$A38)))&amp;" "&amp;MID('Special Help Table'!$A38,SEARCH("; ",'Special Help Table'!$A38)+2,SEARCH(",",'Special Help Table'!$A38,SEARCH(";",'Special Help Table'!$A38))-SEARCH(";",'Special Help Table'!$A38)-2),AND(LEN('Special Help Table'!$A38)-LEN(SUBSTITUTE('Special Help Table'!$A38,"and ",""))=0,LEN('Special Help Table'!$A38)-LEN(SUBSTITUTE('Special Help Table'!$A38,";",""))=0),'Special Help Table'!$A38,AND(LEN('Special Help Table'!$A38)-LEN(SUBSTITUTE('Special Help Table'!$A38,",","")=1),LEN('Special Help Table'!$A38)-LEN(SUBSTITUTE('Special Help Table'!$A38," ","")=20),LEN('Special Help Table'!$A38)-LEN(SUBSTITUTE('Special Help Table'!$A38," and",""))=0,LEN('Special Help Table'!$A38)-LEN(SUBSTITUTE('Special Help Table'!$A38,",","",FIND(" ",'Special Help Table'!$A38)+1))=0),RIGHT('Special Help Table'!$A38,LEN('Special Help Table'!$A38)-FIND(", ",'Special Help Table'!$A38))&amp;" "&amp;LEFT('Special Help Table'!$A38,FIND(",",'Special Help Table'!$A38)-1),AND(LEN('Special Help Table'!$A38)-LEN(SUBSTITUTE('Special Help Table'!$A38,"editor",""))=6,LEN('Special Help Table'!$A38)-LEN(SUBSTITUTE('Special Help Table'!$A38,"(",""))=0,LEN('Special Help Table'!$A38)-LEN(SUBSTITUTE('Special Help Table'!$A38,"and",""))=3,LEN('Special Help Table'!$A38)-LEN(SUBSTITUTE('Special Help Table'!$A38,",",""))=1,LEN('Special Help Table'!$A38)-LEN(SUBSTITUTE('Special Help Table'!$A38," ",""))=3),'Special Help Table'!$A38)</f>
        <v>#N/A</v>
      </c>
      <c r="C38" s="4" t="s">
        <v>105</v>
      </c>
      <c r="D38" s="2"/>
      <c r="E38" s="2" t="s">
        <v>16</v>
      </c>
      <c r="F38" s="2" t="s">
        <v>72</v>
      </c>
      <c r="G38" s="2"/>
      <c r="H38" s="2"/>
      <c r="I38" s="2"/>
      <c r="J38" s="2"/>
      <c r="K38" s="3">
        <v>41043</v>
      </c>
      <c r="L38" s="2"/>
      <c r="M38" s="2"/>
      <c r="N38" s="2" t="s">
        <v>18</v>
      </c>
    </row>
    <row r="39" spans="1:14" ht="15.75" customHeight="1" x14ac:dyDescent="0.35">
      <c r="A39" s="2" t="s">
        <v>101</v>
      </c>
      <c r="B39" s="2" t="e" cm="1">
        <f t="array" ref="B39">_xlfn.IFS(AND(LEN('Special Help Table'!$A39)-(LEN(SUBSTITUTE('Special Help Table'!$A39,";","")))=0,LEN('Special Help Table'!$A39)-LEN(SUBSTITUTE('Special Help Table'!$A39,",",""))=1,LEN('Special Help Table'!$A39)-LEN(SUBSTITUTE('Special Help Table'!$A39,"and ",""))=0),MID('Special Help Table'!$A39&amp;" "&amp;'Special Help Table'!$A39,SEARCH(", ",'Special Help Table'!$A39)+1,LEN('Special Help Table'!$A39)),AND(LEN('Special Help Table'!$A39)-(LEN(SUBSTITUTE('Special Help Table'!$A39,";","")))=1,LEN('Special Help Table'!$A39)-LEN(SUBSTITUTE('Special Help Table'!$A39,"and ",""))=0),MID('Special Help Table'!$A39,SEARCH(",",'Special Help Table'!$A39)+1,(SEARCH(";",'Special Help Table'!$A39)-1)-SEARCH(",",'Special Help Table'!$A39))&amp;" "&amp;LEFT('Special Help Table'!$A39,SEARCH(",",'Special Help Table'!$A39)-1)&amp;";"&amp;RIGHT('Special Help Table'!$A39,LEN('Special Help Table'!$A39)-SEARCH(",",'Special Help Table'!$A39,SEARCH(";",'Special Help Table'!$A39)))&amp;" "&amp;MID('Special Help Table'!$A39,SEARCH("; ",'Special Help Table'!$A39)+2,SEARCH(",",'Special Help Table'!$A39,SEARCH(";",'Special Help Table'!$A39))-SEARCH(";",'Special Help Table'!$A39)-2),AND(LEN('Special Help Table'!$A39)-LEN(SUBSTITUTE('Special Help Table'!$A39,"and ",""))=0,LEN('Special Help Table'!$A39)-LEN(SUBSTITUTE('Special Help Table'!$A39,";",""))=0),'Special Help Table'!$A39,AND(LEN('Special Help Table'!$A39)-LEN(SUBSTITUTE('Special Help Table'!$A39,",","")=1),LEN('Special Help Table'!$A39)-LEN(SUBSTITUTE('Special Help Table'!$A39," ","")=20),LEN('Special Help Table'!$A39)-LEN(SUBSTITUTE('Special Help Table'!$A39," and",""))=0,LEN('Special Help Table'!$A39)-LEN(SUBSTITUTE('Special Help Table'!$A39,",","",FIND(" ",'Special Help Table'!$A39)+1))=0),RIGHT('Special Help Table'!$A39,LEN('Special Help Table'!$A39)-FIND(", ",'Special Help Table'!$A39))&amp;" "&amp;LEFT('Special Help Table'!$A39,FIND(",",'Special Help Table'!$A39)-1),AND(LEN('Special Help Table'!$A39)-LEN(SUBSTITUTE('Special Help Table'!$A39,"editor",""))=6,LEN('Special Help Table'!$A39)-LEN(SUBSTITUTE('Special Help Table'!$A39,"(",""))=0,LEN('Special Help Table'!$A39)-LEN(SUBSTITUTE('Special Help Table'!$A39,"and",""))=3,LEN('Special Help Table'!$A39)-LEN(SUBSTITUTE('Special Help Table'!$A39,",",""))=1,LEN('Special Help Table'!$A39)-LEN(SUBSTITUTE('Special Help Table'!$A39," ",""))=3),'Special Help Table'!$A39)</f>
        <v>#N/A</v>
      </c>
      <c r="C39" s="4" t="s">
        <v>106</v>
      </c>
      <c r="D39" s="2"/>
      <c r="E39" s="2" t="s">
        <v>16</v>
      </c>
      <c r="F39" s="2" t="s">
        <v>72</v>
      </c>
      <c r="G39" s="2"/>
      <c r="H39" s="2"/>
      <c r="I39" s="2"/>
      <c r="J39" s="2"/>
      <c r="K39" s="3">
        <v>41045</v>
      </c>
      <c r="L39" s="2"/>
      <c r="M39" s="2"/>
      <c r="N39" s="2" t="s">
        <v>18</v>
      </c>
    </row>
    <row r="40" spans="1:14" ht="15.75" customHeight="1" x14ac:dyDescent="0.35">
      <c r="A40" s="2" t="s">
        <v>107</v>
      </c>
      <c r="B40" s="2" t="str" cm="1">
        <f t="array" ref="B40">_xlfn.IFS(AND(LEN('Special Help Table'!$A40)-(LEN(SUBSTITUTE('Special Help Table'!$A40,";","")))=0,LEN('Special Help Table'!$A40)-LEN(SUBSTITUTE('Special Help Table'!$A40,",",""))=1,LEN('Special Help Table'!$A40)-LEN(SUBSTITUTE('Special Help Table'!$A40,"and ",""))=0),MID('Special Help Table'!$A40&amp;" "&amp;'Special Help Table'!$A40,SEARCH(", ",'Special Help Table'!$A40)+1,LEN('Special Help Table'!$A40)),AND(LEN('Special Help Table'!$A40)-(LEN(SUBSTITUTE('Special Help Table'!$A40,";","")))=1,LEN('Special Help Table'!$A40)-LEN(SUBSTITUTE('Special Help Table'!$A40,"and ",""))=0),MID('Special Help Table'!$A40,SEARCH(",",'Special Help Table'!$A40)+1,(SEARCH(";",'Special Help Table'!$A40)-1)-SEARCH(",",'Special Help Table'!$A40))&amp;" "&amp;LEFT('Special Help Table'!$A40,SEARCH(",",'Special Help Table'!$A40)-1)&amp;";"&amp;RIGHT('Special Help Table'!$A40,LEN('Special Help Table'!$A40)-SEARCH(",",'Special Help Table'!$A40,SEARCH(";",'Special Help Table'!$A40)))&amp;" "&amp;MID('Special Help Table'!$A40,SEARCH("; ",'Special Help Table'!$A40)+2,SEARCH(",",'Special Help Table'!$A40,SEARCH(";",'Special Help Table'!$A40))-SEARCH(";",'Special Help Table'!$A40)-2),AND(LEN('Special Help Table'!$A40)-LEN(SUBSTITUTE('Special Help Table'!$A40,"and ",""))=0,LEN('Special Help Table'!$A40)-LEN(SUBSTITUTE('Special Help Table'!$A40,";",""))=0),'Special Help Table'!$A40,AND(LEN('Special Help Table'!$A40)-LEN(SUBSTITUTE('Special Help Table'!$A40,",","")=1),LEN('Special Help Table'!$A40)-LEN(SUBSTITUTE('Special Help Table'!$A40," ","")=20),LEN('Special Help Table'!$A40)-LEN(SUBSTITUTE('Special Help Table'!$A40," and",""))=0,LEN('Special Help Table'!$A40)-LEN(SUBSTITUTE('Special Help Table'!$A40,",","",FIND(" ",'Special Help Table'!$A40)+1))=0),RIGHT('Special Help Table'!$A40,LEN('Special Help Table'!$A40)-FIND(", ",'Special Help Table'!$A40))&amp;" "&amp;LEFT('Special Help Table'!$A40,FIND(",",'Special Help Table'!$A40)-1),AND(LEN('Special Help Table'!$A40)-LEN(SUBSTITUTE('Special Help Table'!$A40,"editor",""))=6,LEN('Special Help Table'!$A40)-LEN(SUBSTITUTE('Special Help Table'!$A40,"(",""))=0,LEN('Special Help Table'!$A40)-LEN(SUBSTITUTE('Special Help Table'!$A40,"and",""))=3,LEN('Special Help Table'!$A40)-LEN(SUBSTITUTE('Special Help Table'!$A40,",",""))=1,LEN('Special Help Table'!$A40)-LEN(SUBSTITUTE('Special Help Table'!$A40," ",""))=3),'Special Help Table'!$A40)</f>
        <v xml:space="preserve"> Robert Benne</v>
      </c>
      <c r="C40" s="4" t="s">
        <v>108</v>
      </c>
      <c r="D40" s="2"/>
      <c r="E40" s="2" t="s">
        <v>16</v>
      </c>
      <c r="F40" s="2" t="s">
        <v>20</v>
      </c>
      <c r="G40" s="2"/>
      <c r="H40" s="2"/>
      <c r="I40" s="2"/>
      <c r="J40" s="2" t="s">
        <v>109</v>
      </c>
      <c r="K40" s="3" t="s">
        <v>110</v>
      </c>
      <c r="L40" s="2"/>
      <c r="M40" s="2"/>
      <c r="N40" s="2" t="s">
        <v>18</v>
      </c>
    </row>
    <row r="41" spans="1:14" ht="15.75" customHeight="1" x14ac:dyDescent="0.35">
      <c r="A41" s="2" t="s">
        <v>111</v>
      </c>
      <c r="B41" s="2" t="str" cm="1">
        <f t="array" ref="B41">_xlfn.IFS(AND(LEN('Special Help Table'!$A41)-(LEN(SUBSTITUTE('Special Help Table'!$A41,";","")))=0,LEN('Special Help Table'!$A41)-LEN(SUBSTITUTE('Special Help Table'!$A41,",",""))=1,LEN('Special Help Table'!$A41)-LEN(SUBSTITUTE('Special Help Table'!$A41,"and ",""))=0),MID('Special Help Table'!$A41&amp;" "&amp;'Special Help Table'!$A41,SEARCH(", ",'Special Help Table'!$A41)+1,LEN('Special Help Table'!$A41)),AND(LEN('Special Help Table'!$A41)-(LEN(SUBSTITUTE('Special Help Table'!$A41,";","")))=1,LEN('Special Help Table'!$A41)-LEN(SUBSTITUTE('Special Help Table'!$A41,"and ",""))=0),MID('Special Help Table'!$A41,SEARCH(",",'Special Help Table'!$A41)+1,(SEARCH(";",'Special Help Table'!$A41)-1)-SEARCH(",",'Special Help Table'!$A41))&amp;" "&amp;LEFT('Special Help Table'!$A41,SEARCH(",",'Special Help Table'!$A41)-1)&amp;";"&amp;RIGHT('Special Help Table'!$A41,LEN('Special Help Table'!$A41)-SEARCH(",",'Special Help Table'!$A41,SEARCH(";",'Special Help Table'!$A41)))&amp;" "&amp;MID('Special Help Table'!$A41,SEARCH("; ",'Special Help Table'!$A41)+2,SEARCH(",",'Special Help Table'!$A41,SEARCH(";",'Special Help Table'!$A41))-SEARCH(";",'Special Help Table'!$A41)-2),AND(LEN('Special Help Table'!$A41)-LEN(SUBSTITUTE('Special Help Table'!$A41,"and ",""))=0,LEN('Special Help Table'!$A41)-LEN(SUBSTITUTE('Special Help Table'!$A41,";",""))=0),'Special Help Table'!$A41,AND(LEN('Special Help Table'!$A41)-LEN(SUBSTITUTE('Special Help Table'!$A41,",","")=1),LEN('Special Help Table'!$A41)-LEN(SUBSTITUTE('Special Help Table'!$A41," ","")=20),LEN('Special Help Table'!$A41)-LEN(SUBSTITUTE('Special Help Table'!$A41," and",""))=0,LEN('Special Help Table'!$A41)-LEN(SUBSTITUTE('Special Help Table'!$A41,",","",FIND(" ",'Special Help Table'!$A41)+1))=0),RIGHT('Special Help Table'!$A41,LEN('Special Help Table'!$A41)-FIND(", ",'Special Help Table'!$A41))&amp;" "&amp;LEFT('Special Help Table'!$A41,FIND(",",'Special Help Table'!$A41)-1),AND(LEN('Special Help Table'!$A41)-LEN(SUBSTITUTE('Special Help Table'!$A41,"editor",""))=6,LEN('Special Help Table'!$A41)-LEN(SUBSTITUTE('Special Help Table'!$A41,"(",""))=0,LEN('Special Help Table'!$A41)-LEN(SUBSTITUTE('Special Help Table'!$A41,"and",""))=3,LEN('Special Help Table'!$A41)-LEN(SUBSTITUTE('Special Help Table'!$A41,",",""))=1,LEN('Special Help Table'!$A41)-LEN(SUBSTITUTE('Special Help Table'!$A41," ",""))=3),'Special Help Table'!$A41)</f>
        <v xml:space="preserve"> Paul N. Benware</v>
      </c>
      <c r="C41" s="4" t="s">
        <v>112</v>
      </c>
      <c r="D41" s="2"/>
      <c r="E41" s="2" t="s">
        <v>16</v>
      </c>
      <c r="F41" s="2" t="s">
        <v>113</v>
      </c>
      <c r="G41" s="2"/>
      <c r="H41" s="2"/>
      <c r="I41" s="2"/>
      <c r="J41" s="2"/>
      <c r="K41" s="3">
        <v>40705</v>
      </c>
      <c r="L41" s="2"/>
      <c r="M41" s="2"/>
      <c r="N41" s="2" t="s">
        <v>18</v>
      </c>
    </row>
    <row r="42" spans="1:14" ht="15.75" customHeight="1" x14ac:dyDescent="0.35">
      <c r="A42" s="2" t="s">
        <v>114</v>
      </c>
      <c r="B42" s="2" t="str" cm="1">
        <f t="array" ref="B42">_xlfn.IFS(AND(LEN('Special Help Table'!$A42)-(LEN(SUBSTITUTE('Special Help Table'!$A42,";","")))=0,LEN('Special Help Table'!$A42)-LEN(SUBSTITUTE('Special Help Table'!$A42,",",""))=1,LEN('Special Help Table'!$A42)-LEN(SUBSTITUTE('Special Help Table'!$A42,"and ",""))=0),MID('Special Help Table'!$A42&amp;" "&amp;'Special Help Table'!$A42,SEARCH(", ",'Special Help Table'!$A42)+1,LEN('Special Help Table'!$A42)),AND(LEN('Special Help Table'!$A42)-(LEN(SUBSTITUTE('Special Help Table'!$A42,";","")))=1,LEN('Special Help Table'!$A42)-LEN(SUBSTITUTE('Special Help Table'!$A42,"and ",""))=0),MID('Special Help Table'!$A42,SEARCH(",",'Special Help Table'!$A42)+1,(SEARCH(";",'Special Help Table'!$A42)-1)-SEARCH(",",'Special Help Table'!$A42))&amp;" "&amp;LEFT('Special Help Table'!$A42,SEARCH(",",'Special Help Table'!$A42)-1)&amp;";"&amp;RIGHT('Special Help Table'!$A42,LEN('Special Help Table'!$A42)-SEARCH(",",'Special Help Table'!$A42,SEARCH(";",'Special Help Table'!$A42)))&amp;" "&amp;MID('Special Help Table'!$A42,SEARCH("; ",'Special Help Table'!$A42)+2,SEARCH(",",'Special Help Table'!$A42,SEARCH(";",'Special Help Table'!$A42))-SEARCH(";",'Special Help Table'!$A42)-2),AND(LEN('Special Help Table'!$A42)-LEN(SUBSTITUTE('Special Help Table'!$A42,"and ",""))=0,LEN('Special Help Table'!$A42)-LEN(SUBSTITUTE('Special Help Table'!$A42,";",""))=0),'Special Help Table'!$A42,AND(LEN('Special Help Table'!$A42)-LEN(SUBSTITUTE('Special Help Table'!$A42,",","")=1),LEN('Special Help Table'!$A42)-LEN(SUBSTITUTE('Special Help Table'!$A42," ","")=20),LEN('Special Help Table'!$A42)-LEN(SUBSTITUTE('Special Help Table'!$A42," and",""))=0,LEN('Special Help Table'!$A42)-LEN(SUBSTITUTE('Special Help Table'!$A42,",","",FIND(" ",'Special Help Table'!$A42)+1))=0),RIGHT('Special Help Table'!$A42,LEN('Special Help Table'!$A42)-FIND(", ",'Special Help Table'!$A42))&amp;" "&amp;LEFT('Special Help Table'!$A42,FIND(",",'Special Help Table'!$A42)-1),AND(LEN('Special Help Table'!$A42)-LEN(SUBSTITUTE('Special Help Table'!$A42,"editor",""))=6,LEN('Special Help Table'!$A42)-LEN(SUBSTITUTE('Special Help Table'!$A42,"(",""))=0,LEN('Special Help Table'!$A42)-LEN(SUBSTITUTE('Special Help Table'!$A42,"and",""))=3,LEN('Special Help Table'!$A42)-LEN(SUBSTITUTE('Special Help Table'!$A42,",",""))=1,LEN('Special Help Table'!$A42)-LEN(SUBSTITUTE('Special Help Table'!$A42," ",""))=3),'Special Help Table'!$A42)</f>
        <v xml:space="preserve"> Jim Berg</v>
      </c>
      <c r="C42" s="4" t="s">
        <v>115</v>
      </c>
      <c r="D42" s="2"/>
      <c r="E42" s="2" t="s">
        <v>16</v>
      </c>
      <c r="F42" s="2" t="s">
        <v>36</v>
      </c>
      <c r="G42" s="2"/>
      <c r="H42" s="2"/>
      <c r="I42" s="2"/>
      <c r="J42" s="2"/>
      <c r="K42" s="3">
        <v>40034</v>
      </c>
      <c r="L42" s="2"/>
      <c r="M42" s="2"/>
      <c r="N42" s="2" t="s">
        <v>18</v>
      </c>
    </row>
    <row r="43" spans="1:14" ht="15.75" customHeight="1" x14ac:dyDescent="0.35">
      <c r="A43" s="2" t="s">
        <v>114</v>
      </c>
      <c r="B43" s="2" t="str" cm="1">
        <f t="array" ref="B43">_xlfn.IFS(AND(LEN('Special Help Table'!$A43)-(LEN(SUBSTITUTE('Special Help Table'!$A43,";","")))=0,LEN('Special Help Table'!$A43)-LEN(SUBSTITUTE('Special Help Table'!$A43,",",""))=1,LEN('Special Help Table'!$A43)-LEN(SUBSTITUTE('Special Help Table'!$A43,"and ",""))=0),MID('Special Help Table'!$A43&amp;" "&amp;'Special Help Table'!$A43,SEARCH(", ",'Special Help Table'!$A43)+1,LEN('Special Help Table'!$A43)),AND(LEN('Special Help Table'!$A43)-(LEN(SUBSTITUTE('Special Help Table'!$A43,";","")))=1,LEN('Special Help Table'!$A43)-LEN(SUBSTITUTE('Special Help Table'!$A43,"and ",""))=0),MID('Special Help Table'!$A43,SEARCH(",",'Special Help Table'!$A43)+1,(SEARCH(";",'Special Help Table'!$A43)-1)-SEARCH(",",'Special Help Table'!$A43))&amp;" "&amp;LEFT('Special Help Table'!$A43,SEARCH(",",'Special Help Table'!$A43)-1)&amp;";"&amp;RIGHT('Special Help Table'!$A43,LEN('Special Help Table'!$A43)-SEARCH(",",'Special Help Table'!$A43,SEARCH(";",'Special Help Table'!$A43)))&amp;" "&amp;MID('Special Help Table'!$A43,SEARCH("; ",'Special Help Table'!$A43)+2,SEARCH(",",'Special Help Table'!$A43,SEARCH(";",'Special Help Table'!$A43))-SEARCH(";",'Special Help Table'!$A43)-2),AND(LEN('Special Help Table'!$A43)-LEN(SUBSTITUTE('Special Help Table'!$A43,"and ",""))=0,LEN('Special Help Table'!$A43)-LEN(SUBSTITUTE('Special Help Table'!$A43,";",""))=0),'Special Help Table'!$A43,AND(LEN('Special Help Table'!$A43)-LEN(SUBSTITUTE('Special Help Table'!$A43,",","")=1),LEN('Special Help Table'!$A43)-LEN(SUBSTITUTE('Special Help Table'!$A43," ","")=20),LEN('Special Help Table'!$A43)-LEN(SUBSTITUTE('Special Help Table'!$A43," and",""))=0,LEN('Special Help Table'!$A43)-LEN(SUBSTITUTE('Special Help Table'!$A43,",","",FIND(" ",'Special Help Table'!$A43)+1))=0),RIGHT('Special Help Table'!$A43,LEN('Special Help Table'!$A43)-FIND(", ",'Special Help Table'!$A43))&amp;" "&amp;LEFT('Special Help Table'!$A43,FIND(",",'Special Help Table'!$A43)-1),AND(LEN('Special Help Table'!$A43)-LEN(SUBSTITUTE('Special Help Table'!$A43,"editor",""))=6,LEN('Special Help Table'!$A43)-LEN(SUBSTITUTE('Special Help Table'!$A43,"(",""))=0,LEN('Special Help Table'!$A43)-LEN(SUBSTITUTE('Special Help Table'!$A43,"and",""))=3,LEN('Special Help Table'!$A43)-LEN(SUBSTITUTE('Special Help Table'!$A43,",",""))=1,LEN('Special Help Table'!$A43)-LEN(SUBSTITUTE('Special Help Table'!$A43," ",""))=3),'Special Help Table'!$A43)</f>
        <v xml:space="preserve"> Jim Berg</v>
      </c>
      <c r="C43" s="4" t="s">
        <v>116</v>
      </c>
      <c r="D43" s="2"/>
      <c r="E43" s="2" t="s">
        <v>16</v>
      </c>
      <c r="F43" s="2" t="s">
        <v>36</v>
      </c>
      <c r="G43" s="2"/>
      <c r="H43" s="2"/>
      <c r="I43" s="2"/>
      <c r="J43" s="2"/>
      <c r="K43" s="3">
        <v>40034</v>
      </c>
      <c r="L43" s="2"/>
      <c r="M43" s="2"/>
      <c r="N43" s="2" t="s">
        <v>18</v>
      </c>
    </row>
    <row r="44" spans="1:14" ht="15.75" customHeight="1" x14ac:dyDescent="0.35">
      <c r="A44" s="2" t="s">
        <v>117</v>
      </c>
      <c r="B44" s="2" t="str" cm="1">
        <f t="array" ref="B44">_xlfn.IFS(AND(LEN('Special Help Table'!$A44)-(LEN(SUBSTITUTE('Special Help Table'!$A44,";","")))=0,LEN('Special Help Table'!$A44)-LEN(SUBSTITUTE('Special Help Table'!$A44,",",""))=1,LEN('Special Help Table'!$A44)-LEN(SUBSTITUTE('Special Help Table'!$A44,"and ",""))=0),MID('Special Help Table'!$A44&amp;" "&amp;'Special Help Table'!$A44,SEARCH(", ",'Special Help Table'!$A44)+1,LEN('Special Help Table'!$A44)),AND(LEN('Special Help Table'!$A44)-(LEN(SUBSTITUTE('Special Help Table'!$A44,";","")))=1,LEN('Special Help Table'!$A44)-LEN(SUBSTITUTE('Special Help Table'!$A44,"and ",""))=0),MID('Special Help Table'!$A44,SEARCH(",",'Special Help Table'!$A44)+1,(SEARCH(";",'Special Help Table'!$A44)-1)-SEARCH(",",'Special Help Table'!$A44))&amp;" "&amp;LEFT('Special Help Table'!$A44,SEARCH(",",'Special Help Table'!$A44)-1)&amp;";"&amp;RIGHT('Special Help Table'!$A44,LEN('Special Help Table'!$A44)-SEARCH(",",'Special Help Table'!$A44,SEARCH(";",'Special Help Table'!$A44)))&amp;" "&amp;MID('Special Help Table'!$A44,SEARCH("; ",'Special Help Table'!$A44)+2,SEARCH(",",'Special Help Table'!$A44,SEARCH(";",'Special Help Table'!$A44))-SEARCH(";",'Special Help Table'!$A44)-2),AND(LEN('Special Help Table'!$A44)-LEN(SUBSTITUTE('Special Help Table'!$A44,"and ",""))=0,LEN('Special Help Table'!$A44)-LEN(SUBSTITUTE('Special Help Table'!$A44,";",""))=0),'Special Help Table'!$A44,AND(LEN('Special Help Table'!$A44)-LEN(SUBSTITUTE('Special Help Table'!$A44,",","")=1),LEN('Special Help Table'!$A44)-LEN(SUBSTITUTE('Special Help Table'!$A44," ","")=20),LEN('Special Help Table'!$A44)-LEN(SUBSTITUTE('Special Help Table'!$A44," and",""))=0,LEN('Special Help Table'!$A44)-LEN(SUBSTITUTE('Special Help Table'!$A44,",","",FIND(" ",'Special Help Table'!$A44)+1))=0),RIGHT('Special Help Table'!$A44,LEN('Special Help Table'!$A44)-FIND(", ",'Special Help Table'!$A44))&amp;" "&amp;LEFT('Special Help Table'!$A44,FIND(",",'Special Help Table'!$A44)-1),AND(LEN('Special Help Table'!$A44)-LEN(SUBSTITUTE('Special Help Table'!$A44,"editor",""))=6,LEN('Special Help Table'!$A44)-LEN(SUBSTITUTE('Special Help Table'!$A44,"(",""))=0,LEN('Special Help Table'!$A44)-LEN(SUBSTITUTE('Special Help Table'!$A44,"and",""))=3,LEN('Special Help Table'!$A44)-LEN(SUBSTITUTE('Special Help Table'!$A44,",",""))=1,LEN('Special Help Table'!$A44)-LEN(SUBSTITUTE('Special Help Table'!$A44," ",""))=3),'Special Help Table'!$A44)</f>
        <v xml:space="preserve"> Eileen M. Berry</v>
      </c>
      <c r="C44" s="4" t="s">
        <v>118</v>
      </c>
      <c r="D44" s="2"/>
      <c r="E44" s="2" t="s">
        <v>16</v>
      </c>
      <c r="F44" s="2" t="s">
        <v>72</v>
      </c>
      <c r="G44" s="2"/>
      <c r="H44" s="2"/>
      <c r="I44" s="2"/>
      <c r="J44" s="2" t="s">
        <v>119</v>
      </c>
      <c r="K44" s="3">
        <v>44240</v>
      </c>
      <c r="L44" s="2"/>
      <c r="M44" s="2"/>
      <c r="N44" s="2" t="s">
        <v>18</v>
      </c>
    </row>
    <row r="45" spans="1:14" ht="15.75" customHeight="1" x14ac:dyDescent="0.35">
      <c r="A45" s="2" t="s">
        <v>120</v>
      </c>
      <c r="B45" s="2" t="str" cm="1">
        <f t="array" ref="B45">_xlfn.IFS(AND(LEN('Special Help Table'!$A45)-(LEN(SUBSTITUTE('Special Help Table'!$A45,";","")))=0,LEN('Special Help Table'!$A45)-LEN(SUBSTITUTE('Special Help Table'!$A45,",",""))=1,LEN('Special Help Table'!$A45)-LEN(SUBSTITUTE('Special Help Table'!$A45,"and ",""))=0),MID('Special Help Table'!$A45&amp;" "&amp;'Special Help Table'!$A45,SEARCH(", ",'Special Help Table'!$A45)+1,LEN('Special Help Table'!$A45)),AND(LEN('Special Help Table'!$A45)-(LEN(SUBSTITUTE('Special Help Table'!$A45,";","")))=1,LEN('Special Help Table'!$A45)-LEN(SUBSTITUTE('Special Help Table'!$A45,"and ",""))=0),MID('Special Help Table'!$A45,SEARCH(",",'Special Help Table'!$A45)+1,(SEARCH(";",'Special Help Table'!$A45)-1)-SEARCH(",",'Special Help Table'!$A45))&amp;" "&amp;LEFT('Special Help Table'!$A45,SEARCH(",",'Special Help Table'!$A45)-1)&amp;";"&amp;RIGHT('Special Help Table'!$A45,LEN('Special Help Table'!$A45)-SEARCH(",",'Special Help Table'!$A45,SEARCH(";",'Special Help Table'!$A45)))&amp;" "&amp;MID('Special Help Table'!$A45,SEARCH("; ",'Special Help Table'!$A45)+2,SEARCH(",",'Special Help Table'!$A45,SEARCH(";",'Special Help Table'!$A45))-SEARCH(";",'Special Help Table'!$A45)-2),AND(LEN('Special Help Table'!$A45)-LEN(SUBSTITUTE('Special Help Table'!$A45,"and ",""))=0,LEN('Special Help Table'!$A45)-LEN(SUBSTITUTE('Special Help Table'!$A45,";",""))=0),'Special Help Table'!$A45,AND(LEN('Special Help Table'!$A45)-LEN(SUBSTITUTE('Special Help Table'!$A45,",","")=1),LEN('Special Help Table'!$A45)-LEN(SUBSTITUTE('Special Help Table'!$A45," ","")=20),LEN('Special Help Table'!$A45)-LEN(SUBSTITUTE('Special Help Table'!$A45," and",""))=0,LEN('Special Help Table'!$A45)-LEN(SUBSTITUTE('Special Help Table'!$A45,",","",FIND(" ",'Special Help Table'!$A45)+1))=0),RIGHT('Special Help Table'!$A45,LEN('Special Help Table'!$A45)-FIND(", ",'Special Help Table'!$A45))&amp;" "&amp;LEFT('Special Help Table'!$A45,FIND(",",'Special Help Table'!$A45)-1),AND(LEN('Special Help Table'!$A45)-LEN(SUBSTITUTE('Special Help Table'!$A45,"editor",""))=6,LEN('Special Help Table'!$A45)-LEN(SUBSTITUTE('Special Help Table'!$A45,"(",""))=0,LEN('Special Help Table'!$A45)-LEN(SUBSTITUTE('Special Help Table'!$A45,"and",""))=3,LEN('Special Help Table'!$A45)-LEN(SUBSTITUTE('Special Help Table'!$A45,",",""))=1,LEN('Special Help Table'!$A45)-LEN(SUBSTITUTE('Special Help Table'!$A45," ",""))=3),'Special Help Table'!$A45)</f>
        <v xml:space="preserve"> Dr. Megan Best</v>
      </c>
      <c r="C45" s="4" t="s">
        <v>121</v>
      </c>
      <c r="D45" s="2"/>
      <c r="E45" s="2" t="s">
        <v>16</v>
      </c>
      <c r="F45" s="2" t="s">
        <v>20</v>
      </c>
      <c r="G45" s="2"/>
      <c r="H45" s="2"/>
      <c r="I45" s="2"/>
      <c r="J45" s="2" t="s">
        <v>122</v>
      </c>
      <c r="K45" s="3">
        <v>41530</v>
      </c>
      <c r="L45" s="2"/>
      <c r="M45" s="2"/>
      <c r="N45" s="2" t="s">
        <v>18</v>
      </c>
    </row>
    <row r="46" spans="1:14" ht="15.75" customHeight="1" x14ac:dyDescent="0.35">
      <c r="A46" s="2" t="s">
        <v>123</v>
      </c>
      <c r="B46" s="2" t="str" cm="1">
        <f t="array" ref="B46">_xlfn.IFS(AND(LEN('Special Help Table'!$A46)-(LEN(SUBSTITUTE('Special Help Table'!$A46,";","")))=0,LEN('Special Help Table'!$A46)-LEN(SUBSTITUTE('Special Help Table'!$A46,",",""))=1,LEN('Special Help Table'!$A46)-LEN(SUBSTITUTE('Special Help Table'!$A46,"and ",""))=0),MID('Special Help Table'!$A46&amp;" "&amp;'Special Help Table'!$A46,SEARCH(", ",'Special Help Table'!$A46)+1,LEN('Special Help Table'!$A46)),AND(LEN('Special Help Table'!$A46)-(LEN(SUBSTITUTE('Special Help Table'!$A46,";","")))=1,LEN('Special Help Table'!$A46)-LEN(SUBSTITUTE('Special Help Table'!$A46,"and ",""))=0),MID('Special Help Table'!$A46,SEARCH(",",'Special Help Table'!$A46)+1,(SEARCH(";",'Special Help Table'!$A46)-1)-SEARCH(",",'Special Help Table'!$A46))&amp;" "&amp;LEFT('Special Help Table'!$A46,SEARCH(",",'Special Help Table'!$A46)-1)&amp;";"&amp;RIGHT('Special Help Table'!$A46,LEN('Special Help Table'!$A46)-SEARCH(",",'Special Help Table'!$A46,SEARCH(";",'Special Help Table'!$A46)))&amp;" "&amp;MID('Special Help Table'!$A46,SEARCH("; ",'Special Help Table'!$A46)+2,SEARCH(",",'Special Help Table'!$A46,SEARCH(";",'Special Help Table'!$A46))-SEARCH(";",'Special Help Table'!$A46)-2),AND(LEN('Special Help Table'!$A46)-LEN(SUBSTITUTE('Special Help Table'!$A46,"and ",""))=0,LEN('Special Help Table'!$A46)-LEN(SUBSTITUTE('Special Help Table'!$A46,";",""))=0),'Special Help Table'!$A46,AND(LEN('Special Help Table'!$A46)-LEN(SUBSTITUTE('Special Help Table'!$A46,",","")=1),LEN('Special Help Table'!$A46)-LEN(SUBSTITUTE('Special Help Table'!$A46," ","")=20),LEN('Special Help Table'!$A46)-LEN(SUBSTITUTE('Special Help Table'!$A46," and",""))=0,LEN('Special Help Table'!$A46)-LEN(SUBSTITUTE('Special Help Table'!$A46,",","",FIND(" ",'Special Help Table'!$A46)+1))=0),RIGHT('Special Help Table'!$A46,LEN('Special Help Table'!$A46)-FIND(", ",'Special Help Table'!$A46))&amp;" "&amp;LEFT('Special Help Table'!$A46,FIND(",",'Special Help Table'!$A46)-1),AND(LEN('Special Help Table'!$A46)-LEN(SUBSTITUTE('Special Help Table'!$A46,"editor",""))=6,LEN('Special Help Table'!$A46)-LEN(SUBSTITUTE('Special Help Table'!$A46,"(",""))=0,LEN('Special Help Table'!$A46)-LEN(SUBSTITUTE('Special Help Table'!$A46,"and",""))=3,LEN('Special Help Table'!$A46)-LEN(SUBSTITUTE('Special Help Table'!$A46,",",""))=1,LEN('Special Help Table'!$A46)-LEN(SUBSTITUTE('Special Help Table'!$A46," ",""))=3),'Special Help Table'!$A46)</f>
        <v xml:space="preserve"> Bob Bevington; Jerry Bridges</v>
      </c>
      <c r="C46" s="2" t="s">
        <v>124</v>
      </c>
      <c r="D46" s="2" t="s">
        <v>125</v>
      </c>
      <c r="E46" s="2" t="s">
        <v>16</v>
      </c>
      <c r="F46" s="2" t="s">
        <v>126</v>
      </c>
      <c r="G46" s="2"/>
      <c r="H46" s="2"/>
      <c r="I46" s="2"/>
      <c r="J46" s="2"/>
      <c r="K46" s="3">
        <v>40247</v>
      </c>
      <c r="L46" s="2"/>
      <c r="M46" s="2"/>
      <c r="N46" s="2" t="s">
        <v>18</v>
      </c>
    </row>
    <row r="47" spans="1:14" ht="15.75" customHeight="1" x14ac:dyDescent="0.35">
      <c r="A47" s="2" t="s">
        <v>127</v>
      </c>
      <c r="B47" s="2" t="str" cm="1">
        <f t="array" ref="B47">_xlfn.IFS(AND(LEN('Special Help Table'!$A47)-(LEN(SUBSTITUTE('Special Help Table'!$A47,";","")))=0,LEN('Special Help Table'!$A47)-LEN(SUBSTITUTE('Special Help Table'!$A47,",",""))=1,LEN('Special Help Table'!$A47)-LEN(SUBSTITUTE('Special Help Table'!$A47,"and ",""))=0),MID('Special Help Table'!$A47&amp;" "&amp;'Special Help Table'!$A47,SEARCH(", ",'Special Help Table'!$A47)+1,LEN('Special Help Table'!$A47)),AND(LEN('Special Help Table'!$A47)-(LEN(SUBSTITUTE('Special Help Table'!$A47,";","")))=1,LEN('Special Help Table'!$A47)-LEN(SUBSTITUTE('Special Help Table'!$A47,"and ",""))=0),MID('Special Help Table'!$A47,SEARCH(",",'Special Help Table'!$A47)+1,(SEARCH(";",'Special Help Table'!$A47)-1)-SEARCH(",",'Special Help Table'!$A47))&amp;" "&amp;LEFT('Special Help Table'!$A47,SEARCH(",",'Special Help Table'!$A47)-1)&amp;";"&amp;RIGHT('Special Help Table'!$A47,LEN('Special Help Table'!$A47)-SEARCH(",",'Special Help Table'!$A47,SEARCH(";",'Special Help Table'!$A47)))&amp;" "&amp;MID('Special Help Table'!$A47,SEARCH("; ",'Special Help Table'!$A47)+2,SEARCH(",",'Special Help Table'!$A47,SEARCH(";",'Special Help Table'!$A47))-SEARCH(";",'Special Help Table'!$A47)-2),AND(LEN('Special Help Table'!$A47)-LEN(SUBSTITUTE('Special Help Table'!$A47,"and ",""))=0,LEN('Special Help Table'!$A47)-LEN(SUBSTITUTE('Special Help Table'!$A47,";",""))=0),'Special Help Table'!$A47,AND(LEN('Special Help Table'!$A47)-LEN(SUBSTITUTE('Special Help Table'!$A47,",","")=1),LEN('Special Help Table'!$A47)-LEN(SUBSTITUTE('Special Help Table'!$A47," ","")=20),LEN('Special Help Table'!$A47)-LEN(SUBSTITUTE('Special Help Table'!$A47," and",""))=0,LEN('Special Help Table'!$A47)-LEN(SUBSTITUTE('Special Help Table'!$A47,",","",FIND(" ",'Special Help Table'!$A47)+1))=0),RIGHT('Special Help Table'!$A47,LEN('Special Help Table'!$A47)-FIND(", ",'Special Help Table'!$A47))&amp;" "&amp;LEFT('Special Help Table'!$A47,FIND(",",'Special Help Table'!$A47)-1),AND(LEN('Special Help Table'!$A47)-LEN(SUBSTITUTE('Special Help Table'!$A47,"editor",""))=6,LEN('Special Help Table'!$A47)-LEN(SUBSTITUTE('Special Help Table'!$A47,"(",""))=0,LEN('Special Help Table'!$A47)-LEN(SUBSTITUTE('Special Help Table'!$A47,"and",""))=3,LEN('Special Help Table'!$A47)-LEN(SUBSTITUTE('Special Help Table'!$A47,",",""))=1,LEN('Special Help Table'!$A47)-LEN(SUBSTITUTE('Special Help Table'!$A47," ",""))=3),'Special Help Table'!$A47)</f>
        <v xml:space="preserve"> J. Todd Billings</v>
      </c>
      <c r="C47" s="4" t="s">
        <v>128</v>
      </c>
      <c r="D47" s="2"/>
      <c r="E47" s="2" t="s">
        <v>16</v>
      </c>
      <c r="F47" s="2" t="s">
        <v>36</v>
      </c>
      <c r="G47" s="2"/>
      <c r="H47" s="2"/>
      <c r="I47" s="2"/>
      <c r="J47" s="2" t="s">
        <v>129</v>
      </c>
      <c r="K47" s="3">
        <v>44772</v>
      </c>
      <c r="L47" s="2"/>
      <c r="M47" s="2"/>
      <c r="N47" s="2" t="s">
        <v>18</v>
      </c>
    </row>
    <row r="48" spans="1:14" ht="15.75" customHeight="1" x14ac:dyDescent="0.35">
      <c r="A48" s="2" t="s">
        <v>130</v>
      </c>
      <c r="B48" s="2" t="str" cm="1">
        <f t="array" ref="B48">_xlfn.IFS(AND(LEN('Special Help Table'!$A48)-(LEN(SUBSTITUTE('Special Help Table'!$A48,";","")))=0,LEN('Special Help Table'!$A48)-LEN(SUBSTITUTE('Special Help Table'!$A48,",",""))=1,LEN('Special Help Table'!$A48)-LEN(SUBSTITUTE('Special Help Table'!$A48,"and ",""))=0),MID('Special Help Table'!$A48&amp;" "&amp;'Special Help Table'!$A48,SEARCH(", ",'Special Help Table'!$A48)+1,LEN('Special Help Table'!$A48)),AND(LEN('Special Help Table'!$A48)-(LEN(SUBSTITUTE('Special Help Table'!$A48,";","")))=1,LEN('Special Help Table'!$A48)-LEN(SUBSTITUTE('Special Help Table'!$A48,"and ",""))=0),MID('Special Help Table'!$A48,SEARCH(",",'Special Help Table'!$A48)+1,(SEARCH(";",'Special Help Table'!$A48)-1)-SEARCH(",",'Special Help Table'!$A48))&amp;" "&amp;LEFT('Special Help Table'!$A48,SEARCH(",",'Special Help Table'!$A48)-1)&amp;";"&amp;RIGHT('Special Help Table'!$A48,LEN('Special Help Table'!$A48)-SEARCH(",",'Special Help Table'!$A48,SEARCH(";",'Special Help Table'!$A48)))&amp;" "&amp;MID('Special Help Table'!$A48,SEARCH("; ",'Special Help Table'!$A48)+2,SEARCH(",",'Special Help Table'!$A48,SEARCH(";",'Special Help Table'!$A48))-SEARCH(";",'Special Help Table'!$A48)-2),AND(LEN('Special Help Table'!$A48)-LEN(SUBSTITUTE('Special Help Table'!$A48,"and ",""))=0,LEN('Special Help Table'!$A48)-LEN(SUBSTITUTE('Special Help Table'!$A48,";",""))=0),'Special Help Table'!$A48,AND(LEN('Special Help Table'!$A48)-LEN(SUBSTITUTE('Special Help Table'!$A48,",","")=1),LEN('Special Help Table'!$A48)-LEN(SUBSTITUTE('Special Help Table'!$A48," ","")=20),LEN('Special Help Table'!$A48)-LEN(SUBSTITUTE('Special Help Table'!$A48," and",""))=0,LEN('Special Help Table'!$A48)-LEN(SUBSTITUTE('Special Help Table'!$A48,",","",FIND(" ",'Special Help Table'!$A48)+1))=0),RIGHT('Special Help Table'!$A48,LEN('Special Help Table'!$A48)-FIND(", ",'Special Help Table'!$A48))&amp;" "&amp;LEFT('Special Help Table'!$A48,FIND(",",'Special Help Table'!$A48)-1),AND(LEN('Special Help Table'!$A48)-LEN(SUBSTITUTE('Special Help Table'!$A48,"editor",""))=6,LEN('Special Help Table'!$A48)-LEN(SUBSTITUTE('Special Help Table'!$A48,"(",""))=0,LEN('Special Help Table'!$A48)-LEN(SUBSTITUTE('Special Help Table'!$A48,"and",""))=3,LEN('Special Help Table'!$A48)-LEN(SUBSTITUTE('Special Help Table'!$A48,",",""))=1,LEN('Special Help Table'!$A48)-LEN(SUBSTITUTE('Special Help Table'!$A48," ",""))=3),'Special Help Table'!$A48)</f>
        <v xml:space="preserve"> Daniel I. Block</v>
      </c>
      <c r="C48" s="2" t="s">
        <v>131</v>
      </c>
      <c r="D48" s="2"/>
      <c r="E48" s="2" t="s">
        <v>16</v>
      </c>
      <c r="F48" s="2" t="s">
        <v>92</v>
      </c>
      <c r="G48" s="2"/>
      <c r="H48" s="2"/>
      <c r="I48" s="2"/>
      <c r="J48" s="2"/>
      <c r="K48" s="3">
        <v>43859</v>
      </c>
      <c r="L48" s="2"/>
      <c r="M48" s="2"/>
      <c r="N48" s="2" t="s">
        <v>18</v>
      </c>
    </row>
    <row r="49" spans="1:14" ht="15.75" customHeight="1" x14ac:dyDescent="0.35">
      <c r="A49" s="2" t="s">
        <v>132</v>
      </c>
      <c r="B49" s="2" t="str" cm="1">
        <f t="array" ref="B49">_xlfn.IFS(AND(LEN('Special Help Table'!$A49)-(LEN(SUBSTITUTE('Special Help Table'!$A49,";","")))=0,LEN('Special Help Table'!$A49)-LEN(SUBSTITUTE('Special Help Table'!$A49,",",""))=1,LEN('Special Help Table'!$A49)-LEN(SUBSTITUTE('Special Help Table'!$A49,"and ",""))=0),MID('Special Help Table'!$A49&amp;" "&amp;'Special Help Table'!$A49,SEARCH(", ",'Special Help Table'!$A49)+1,LEN('Special Help Table'!$A49)),AND(LEN('Special Help Table'!$A49)-(LEN(SUBSTITUTE('Special Help Table'!$A49,";","")))=1,LEN('Special Help Table'!$A49)-LEN(SUBSTITUTE('Special Help Table'!$A49,"and ",""))=0),MID('Special Help Table'!$A49,SEARCH(",",'Special Help Table'!$A49)+1,(SEARCH(";",'Special Help Table'!$A49)-1)-SEARCH(",",'Special Help Table'!$A49))&amp;" "&amp;LEFT('Special Help Table'!$A49,SEARCH(",",'Special Help Table'!$A49)-1)&amp;";"&amp;RIGHT('Special Help Table'!$A49,LEN('Special Help Table'!$A49)-SEARCH(",",'Special Help Table'!$A49,SEARCH(";",'Special Help Table'!$A49)))&amp;" "&amp;MID('Special Help Table'!$A49,SEARCH("; ",'Special Help Table'!$A49)+2,SEARCH(",",'Special Help Table'!$A49,SEARCH(";",'Special Help Table'!$A49))-SEARCH(";",'Special Help Table'!$A49)-2),AND(LEN('Special Help Table'!$A49)-LEN(SUBSTITUTE('Special Help Table'!$A49,"and ",""))=0,LEN('Special Help Table'!$A49)-LEN(SUBSTITUTE('Special Help Table'!$A49,";",""))=0),'Special Help Table'!$A49,AND(LEN('Special Help Table'!$A49)-LEN(SUBSTITUTE('Special Help Table'!$A49,",","")=1),LEN('Special Help Table'!$A49)-LEN(SUBSTITUTE('Special Help Table'!$A49," ","")=20),LEN('Special Help Table'!$A49)-LEN(SUBSTITUTE('Special Help Table'!$A49," and",""))=0,LEN('Special Help Table'!$A49)-LEN(SUBSTITUTE('Special Help Table'!$A49,",","",FIND(" ",'Special Help Table'!$A49)+1))=0),RIGHT('Special Help Table'!$A49,LEN('Special Help Table'!$A49)-FIND(", ",'Special Help Table'!$A49))&amp;" "&amp;LEFT('Special Help Table'!$A49,FIND(",",'Special Help Table'!$A49)-1),AND(LEN('Special Help Table'!$A49)-LEN(SUBSTITUTE('Special Help Table'!$A49,"editor",""))=6,LEN('Special Help Table'!$A49)-LEN(SUBSTITUTE('Special Help Table'!$A49,"(",""))=0,LEN('Special Help Table'!$A49)-LEN(SUBSTITUTE('Special Help Table'!$A49,"and",""))=3,LEN('Special Help Table'!$A49)-LEN(SUBSTITUTE('Special Help Table'!$A49,",",""))=1,LEN('Special Help Table'!$A49)-LEN(SUBSTITUTE('Special Help Table'!$A49," ",""))=3),'Special Help Table'!$A49)</f>
        <v xml:space="preserve"> William Boekestein</v>
      </c>
      <c r="C49" s="2" t="s">
        <v>133</v>
      </c>
      <c r="D49" s="2"/>
      <c r="E49" s="2" t="s">
        <v>16</v>
      </c>
      <c r="F49" s="2" t="s">
        <v>72</v>
      </c>
      <c r="G49" s="2"/>
      <c r="H49" s="2"/>
      <c r="I49" s="2"/>
      <c r="J49" s="2" t="s">
        <v>134</v>
      </c>
      <c r="K49" s="3">
        <v>44688</v>
      </c>
      <c r="L49" s="2"/>
      <c r="M49" s="2"/>
      <c r="N49" s="2" t="s">
        <v>18</v>
      </c>
    </row>
    <row r="50" spans="1:14" ht="15.75" customHeight="1" x14ac:dyDescent="0.35">
      <c r="A50" s="2" t="s">
        <v>132</v>
      </c>
      <c r="B50" s="2" t="str" cm="1">
        <f t="array" ref="B50">_xlfn.IFS(AND(LEN('Special Help Table'!$A50)-(LEN(SUBSTITUTE('Special Help Table'!$A50,";","")))=0,LEN('Special Help Table'!$A50)-LEN(SUBSTITUTE('Special Help Table'!$A50,",",""))=1,LEN('Special Help Table'!$A50)-LEN(SUBSTITUTE('Special Help Table'!$A50,"and ",""))=0),MID('Special Help Table'!$A50&amp;" "&amp;'Special Help Table'!$A50,SEARCH(", ",'Special Help Table'!$A50)+1,LEN('Special Help Table'!$A50)),AND(LEN('Special Help Table'!$A50)-(LEN(SUBSTITUTE('Special Help Table'!$A50,";","")))=1,LEN('Special Help Table'!$A50)-LEN(SUBSTITUTE('Special Help Table'!$A50,"and ",""))=0),MID('Special Help Table'!$A50,SEARCH(",",'Special Help Table'!$A50)+1,(SEARCH(";",'Special Help Table'!$A50)-1)-SEARCH(",",'Special Help Table'!$A50))&amp;" "&amp;LEFT('Special Help Table'!$A50,SEARCH(",",'Special Help Table'!$A50)-1)&amp;";"&amp;RIGHT('Special Help Table'!$A50,LEN('Special Help Table'!$A50)-SEARCH(",",'Special Help Table'!$A50,SEARCH(";",'Special Help Table'!$A50)))&amp;" "&amp;MID('Special Help Table'!$A50,SEARCH("; ",'Special Help Table'!$A50)+2,SEARCH(",",'Special Help Table'!$A50,SEARCH(";",'Special Help Table'!$A50))-SEARCH(";",'Special Help Table'!$A50)-2),AND(LEN('Special Help Table'!$A50)-LEN(SUBSTITUTE('Special Help Table'!$A50,"and ",""))=0,LEN('Special Help Table'!$A50)-LEN(SUBSTITUTE('Special Help Table'!$A50,";",""))=0),'Special Help Table'!$A50,AND(LEN('Special Help Table'!$A50)-LEN(SUBSTITUTE('Special Help Table'!$A50,",","")=1),LEN('Special Help Table'!$A50)-LEN(SUBSTITUTE('Special Help Table'!$A50," ","")=20),LEN('Special Help Table'!$A50)-LEN(SUBSTITUTE('Special Help Table'!$A50," and",""))=0,LEN('Special Help Table'!$A50)-LEN(SUBSTITUTE('Special Help Table'!$A50,",","",FIND(" ",'Special Help Table'!$A50)+1))=0),RIGHT('Special Help Table'!$A50,LEN('Special Help Table'!$A50)-FIND(", ",'Special Help Table'!$A50))&amp;" "&amp;LEFT('Special Help Table'!$A50,FIND(",",'Special Help Table'!$A50)-1),AND(LEN('Special Help Table'!$A50)-LEN(SUBSTITUTE('Special Help Table'!$A50,"editor",""))=6,LEN('Special Help Table'!$A50)-LEN(SUBSTITUTE('Special Help Table'!$A50,"(",""))=0,LEN('Special Help Table'!$A50)-LEN(SUBSTITUTE('Special Help Table'!$A50,"and",""))=3,LEN('Special Help Table'!$A50)-LEN(SUBSTITUTE('Special Help Table'!$A50,",",""))=1,LEN('Special Help Table'!$A50)-LEN(SUBSTITUTE('Special Help Table'!$A50," ",""))=3),'Special Help Table'!$A50)</f>
        <v xml:space="preserve"> William Boekestein</v>
      </c>
      <c r="C50" s="4" t="s">
        <v>135</v>
      </c>
      <c r="D50" s="2" t="s">
        <v>136</v>
      </c>
      <c r="E50" s="2" t="s">
        <v>16</v>
      </c>
      <c r="F50" s="2" t="s">
        <v>72</v>
      </c>
      <c r="G50" s="2"/>
      <c r="H50" s="2"/>
      <c r="I50" s="2"/>
      <c r="J50" s="2"/>
      <c r="K50" s="3"/>
      <c r="L50" s="2"/>
      <c r="M50" s="2"/>
      <c r="N50" s="2" t="s">
        <v>18</v>
      </c>
    </row>
    <row r="51" spans="1:14" ht="15.75" customHeight="1" x14ac:dyDescent="0.35">
      <c r="A51" s="2" t="s">
        <v>137</v>
      </c>
      <c r="B51" s="2" t="str" cm="1">
        <f t="array" ref="B51">_xlfn.IFS(AND(LEN('Special Help Table'!$A51)-(LEN(SUBSTITUTE('Special Help Table'!$A51,";","")))=0,LEN('Special Help Table'!$A51)-LEN(SUBSTITUTE('Special Help Table'!$A51,",",""))=1,LEN('Special Help Table'!$A51)-LEN(SUBSTITUTE('Special Help Table'!$A51,"and ",""))=0),MID('Special Help Table'!$A51&amp;" "&amp;'Special Help Table'!$A51,SEARCH(", ",'Special Help Table'!$A51)+1,LEN('Special Help Table'!$A51)),AND(LEN('Special Help Table'!$A51)-(LEN(SUBSTITUTE('Special Help Table'!$A51,";","")))=1,LEN('Special Help Table'!$A51)-LEN(SUBSTITUTE('Special Help Table'!$A51,"and ",""))=0),MID('Special Help Table'!$A51,SEARCH(",",'Special Help Table'!$A51)+1,(SEARCH(";",'Special Help Table'!$A51)-1)-SEARCH(",",'Special Help Table'!$A51))&amp;" "&amp;LEFT('Special Help Table'!$A51,SEARCH(",",'Special Help Table'!$A51)-1)&amp;";"&amp;RIGHT('Special Help Table'!$A51,LEN('Special Help Table'!$A51)-SEARCH(",",'Special Help Table'!$A51,SEARCH(";",'Special Help Table'!$A51)))&amp;" "&amp;MID('Special Help Table'!$A51,SEARCH("; ",'Special Help Table'!$A51)+2,SEARCH(",",'Special Help Table'!$A51,SEARCH(";",'Special Help Table'!$A51))-SEARCH(";",'Special Help Table'!$A51)-2),AND(LEN('Special Help Table'!$A51)-LEN(SUBSTITUTE('Special Help Table'!$A51,"and ",""))=0,LEN('Special Help Table'!$A51)-LEN(SUBSTITUTE('Special Help Table'!$A51,";",""))=0),'Special Help Table'!$A51,AND(LEN('Special Help Table'!$A51)-LEN(SUBSTITUTE('Special Help Table'!$A51,",","")=1),LEN('Special Help Table'!$A51)-LEN(SUBSTITUTE('Special Help Table'!$A51," ","")=20),LEN('Special Help Table'!$A51)-LEN(SUBSTITUTE('Special Help Table'!$A51," and",""))=0,LEN('Special Help Table'!$A51)-LEN(SUBSTITUTE('Special Help Table'!$A51,",","",FIND(" ",'Special Help Table'!$A51)+1))=0),RIGHT('Special Help Table'!$A51,LEN('Special Help Table'!$A51)-FIND(", ",'Special Help Table'!$A51))&amp;" "&amp;LEFT('Special Help Table'!$A51,FIND(",",'Special Help Table'!$A51)-1),AND(LEN('Special Help Table'!$A51)-LEN(SUBSTITUTE('Special Help Table'!$A51,"editor",""))=6,LEN('Special Help Table'!$A51)-LEN(SUBSTITUTE('Special Help Table'!$A51,"(",""))=0,LEN('Special Help Table'!$A51)-LEN(SUBSTITUTE('Special Help Table'!$A51,"and",""))=3,LEN('Special Help Table'!$A51)-LEN(SUBSTITUTE('Special Help Table'!$A51,",",""))=1,LEN('Special Help Table'!$A51)-LEN(SUBSTITUTE('Special Help Table'!$A51," ",""))=3),'Special Help Table'!$A51)</f>
        <v xml:space="preserve"> James Montgomery Boice</v>
      </c>
      <c r="C51" s="4" t="s">
        <v>138</v>
      </c>
      <c r="D51" s="2"/>
      <c r="E51" s="2" t="s">
        <v>16</v>
      </c>
      <c r="F51" s="2" t="s">
        <v>36</v>
      </c>
      <c r="G51" s="2"/>
      <c r="H51" s="2"/>
      <c r="I51" s="2"/>
      <c r="J51" s="2"/>
      <c r="K51" s="3">
        <v>43912</v>
      </c>
      <c r="L51" s="2"/>
      <c r="M51" s="2"/>
      <c r="N51" s="2" t="s">
        <v>18</v>
      </c>
    </row>
    <row r="52" spans="1:14" ht="15.75" customHeight="1" x14ac:dyDescent="0.35">
      <c r="A52" s="2" t="s">
        <v>137</v>
      </c>
      <c r="B52" s="2" t="str" cm="1">
        <f t="array" ref="B52">_xlfn.IFS(AND(LEN('Special Help Table'!$A52)-(LEN(SUBSTITUTE('Special Help Table'!$A52,";","")))=0,LEN('Special Help Table'!$A52)-LEN(SUBSTITUTE('Special Help Table'!$A52,",",""))=1,LEN('Special Help Table'!$A52)-LEN(SUBSTITUTE('Special Help Table'!$A52,"and ",""))=0),MID('Special Help Table'!$A52&amp;" "&amp;'Special Help Table'!$A52,SEARCH(", ",'Special Help Table'!$A52)+1,LEN('Special Help Table'!$A52)),AND(LEN('Special Help Table'!$A52)-(LEN(SUBSTITUTE('Special Help Table'!$A52,";","")))=1,LEN('Special Help Table'!$A52)-LEN(SUBSTITUTE('Special Help Table'!$A52,"and ",""))=0),MID('Special Help Table'!$A52,SEARCH(",",'Special Help Table'!$A52)+1,(SEARCH(";",'Special Help Table'!$A52)-1)-SEARCH(",",'Special Help Table'!$A52))&amp;" "&amp;LEFT('Special Help Table'!$A52,SEARCH(",",'Special Help Table'!$A52)-1)&amp;";"&amp;RIGHT('Special Help Table'!$A52,LEN('Special Help Table'!$A52)-SEARCH(",",'Special Help Table'!$A52,SEARCH(";",'Special Help Table'!$A52)))&amp;" "&amp;MID('Special Help Table'!$A52,SEARCH("; ",'Special Help Table'!$A52)+2,SEARCH(",",'Special Help Table'!$A52,SEARCH(";",'Special Help Table'!$A52))-SEARCH(";",'Special Help Table'!$A52)-2),AND(LEN('Special Help Table'!$A52)-LEN(SUBSTITUTE('Special Help Table'!$A52,"and ",""))=0,LEN('Special Help Table'!$A52)-LEN(SUBSTITUTE('Special Help Table'!$A52,";",""))=0),'Special Help Table'!$A52,AND(LEN('Special Help Table'!$A52)-LEN(SUBSTITUTE('Special Help Table'!$A52,",","")=1),LEN('Special Help Table'!$A52)-LEN(SUBSTITUTE('Special Help Table'!$A52," ","")=20),LEN('Special Help Table'!$A52)-LEN(SUBSTITUTE('Special Help Table'!$A52," and",""))=0,LEN('Special Help Table'!$A52)-LEN(SUBSTITUTE('Special Help Table'!$A52,",","",FIND(" ",'Special Help Table'!$A52)+1))=0),RIGHT('Special Help Table'!$A52,LEN('Special Help Table'!$A52)-FIND(", ",'Special Help Table'!$A52))&amp;" "&amp;LEFT('Special Help Table'!$A52,FIND(",",'Special Help Table'!$A52)-1),AND(LEN('Special Help Table'!$A52)-LEN(SUBSTITUTE('Special Help Table'!$A52,"editor",""))=6,LEN('Special Help Table'!$A52)-LEN(SUBSTITUTE('Special Help Table'!$A52,"(",""))=0,LEN('Special Help Table'!$A52)-LEN(SUBSTITUTE('Special Help Table'!$A52,"and",""))=3,LEN('Special Help Table'!$A52)-LEN(SUBSTITUTE('Special Help Table'!$A52,",",""))=1,LEN('Special Help Table'!$A52)-LEN(SUBSTITUTE('Special Help Table'!$A52," ",""))=3),'Special Help Table'!$A52)</f>
        <v xml:space="preserve"> James Montgomery Boice</v>
      </c>
      <c r="C52" s="4" t="s">
        <v>139</v>
      </c>
      <c r="D52" s="2" t="s">
        <v>140</v>
      </c>
      <c r="E52" s="2" t="s">
        <v>16</v>
      </c>
      <c r="F52" s="2" t="s">
        <v>28</v>
      </c>
      <c r="G52" s="2" t="s">
        <v>141</v>
      </c>
      <c r="H52" s="2"/>
      <c r="I52" s="2"/>
      <c r="J52" s="2" t="s">
        <v>142</v>
      </c>
      <c r="K52" s="3">
        <v>40034</v>
      </c>
      <c r="L52" s="2"/>
      <c r="M52" s="2"/>
      <c r="N52" s="2" t="s">
        <v>18</v>
      </c>
    </row>
    <row r="53" spans="1:14" ht="15.75" customHeight="1" x14ac:dyDescent="0.35">
      <c r="A53" s="2" t="s">
        <v>137</v>
      </c>
      <c r="B53" s="2" t="str" cm="1">
        <f t="array" ref="B53">_xlfn.IFS(AND(LEN('Special Help Table'!$A53)-(LEN(SUBSTITUTE('Special Help Table'!$A53,";","")))=0,LEN('Special Help Table'!$A53)-LEN(SUBSTITUTE('Special Help Table'!$A53,",",""))=1,LEN('Special Help Table'!$A53)-LEN(SUBSTITUTE('Special Help Table'!$A53,"and ",""))=0),MID('Special Help Table'!$A53&amp;" "&amp;'Special Help Table'!$A53,SEARCH(", ",'Special Help Table'!$A53)+1,LEN('Special Help Table'!$A53)),AND(LEN('Special Help Table'!$A53)-(LEN(SUBSTITUTE('Special Help Table'!$A53,";","")))=1,LEN('Special Help Table'!$A53)-LEN(SUBSTITUTE('Special Help Table'!$A53,"and ",""))=0),MID('Special Help Table'!$A53,SEARCH(",",'Special Help Table'!$A53)+1,(SEARCH(";",'Special Help Table'!$A53)-1)-SEARCH(",",'Special Help Table'!$A53))&amp;" "&amp;LEFT('Special Help Table'!$A53,SEARCH(",",'Special Help Table'!$A53)-1)&amp;";"&amp;RIGHT('Special Help Table'!$A53,LEN('Special Help Table'!$A53)-SEARCH(",",'Special Help Table'!$A53,SEARCH(";",'Special Help Table'!$A53)))&amp;" "&amp;MID('Special Help Table'!$A53,SEARCH("; ",'Special Help Table'!$A53)+2,SEARCH(",",'Special Help Table'!$A53,SEARCH(";",'Special Help Table'!$A53))-SEARCH(";",'Special Help Table'!$A53)-2),AND(LEN('Special Help Table'!$A53)-LEN(SUBSTITUTE('Special Help Table'!$A53,"and ",""))=0,LEN('Special Help Table'!$A53)-LEN(SUBSTITUTE('Special Help Table'!$A53,";",""))=0),'Special Help Table'!$A53,AND(LEN('Special Help Table'!$A53)-LEN(SUBSTITUTE('Special Help Table'!$A53,",","")=1),LEN('Special Help Table'!$A53)-LEN(SUBSTITUTE('Special Help Table'!$A53," ","")=20),LEN('Special Help Table'!$A53)-LEN(SUBSTITUTE('Special Help Table'!$A53," and",""))=0,LEN('Special Help Table'!$A53)-LEN(SUBSTITUTE('Special Help Table'!$A53,",","",FIND(" ",'Special Help Table'!$A53)+1))=0),RIGHT('Special Help Table'!$A53,LEN('Special Help Table'!$A53)-FIND(", ",'Special Help Table'!$A53))&amp;" "&amp;LEFT('Special Help Table'!$A53,FIND(",",'Special Help Table'!$A53)-1),AND(LEN('Special Help Table'!$A53)-LEN(SUBSTITUTE('Special Help Table'!$A53,"editor",""))=6,LEN('Special Help Table'!$A53)-LEN(SUBSTITUTE('Special Help Table'!$A53,"(",""))=0,LEN('Special Help Table'!$A53)-LEN(SUBSTITUTE('Special Help Table'!$A53,"and",""))=3,LEN('Special Help Table'!$A53)-LEN(SUBSTITUTE('Special Help Table'!$A53,",",""))=1,LEN('Special Help Table'!$A53)-LEN(SUBSTITUTE('Special Help Table'!$A53," ",""))=3),'Special Help Table'!$A53)</f>
        <v xml:space="preserve"> James Montgomery Boice</v>
      </c>
      <c r="C53" s="4" t="s">
        <v>143</v>
      </c>
      <c r="D53" s="2"/>
      <c r="E53" s="2" t="s">
        <v>16</v>
      </c>
      <c r="F53" s="2" t="s">
        <v>28</v>
      </c>
      <c r="G53" s="2"/>
      <c r="H53" s="2"/>
      <c r="I53" s="2"/>
      <c r="J53" s="2"/>
      <c r="K53" s="3">
        <v>42139</v>
      </c>
      <c r="L53" s="2"/>
      <c r="M53" s="2"/>
      <c r="N53" s="2" t="s">
        <v>18</v>
      </c>
    </row>
    <row r="54" spans="1:14" ht="15.75" customHeight="1" x14ac:dyDescent="0.35">
      <c r="A54" s="2" t="s">
        <v>144</v>
      </c>
      <c r="B54" s="2" t="str" cm="1">
        <f t="array" ref="B54">_xlfn.IFS(AND(LEN('Special Help Table'!$A54)-(LEN(SUBSTITUTE('Special Help Table'!$A54,";","")))=0,LEN('Special Help Table'!$A54)-LEN(SUBSTITUTE('Special Help Table'!$A54,",",""))=1,LEN('Special Help Table'!$A54)-LEN(SUBSTITUTE('Special Help Table'!$A54,"and ",""))=0),MID('Special Help Table'!$A54&amp;" "&amp;'Special Help Table'!$A54,SEARCH(", ",'Special Help Table'!$A54)+1,LEN('Special Help Table'!$A54)),AND(LEN('Special Help Table'!$A54)-(LEN(SUBSTITUTE('Special Help Table'!$A54,";","")))=1,LEN('Special Help Table'!$A54)-LEN(SUBSTITUTE('Special Help Table'!$A54,"and ",""))=0),MID('Special Help Table'!$A54,SEARCH(",",'Special Help Table'!$A54)+1,(SEARCH(";",'Special Help Table'!$A54)-1)-SEARCH(",",'Special Help Table'!$A54))&amp;" "&amp;LEFT('Special Help Table'!$A54,SEARCH(",",'Special Help Table'!$A54)-1)&amp;";"&amp;RIGHT('Special Help Table'!$A54,LEN('Special Help Table'!$A54)-SEARCH(",",'Special Help Table'!$A54,SEARCH(";",'Special Help Table'!$A54)))&amp;" "&amp;MID('Special Help Table'!$A54,SEARCH("; ",'Special Help Table'!$A54)+2,SEARCH(",",'Special Help Table'!$A54,SEARCH(";",'Special Help Table'!$A54))-SEARCH(";",'Special Help Table'!$A54)-2),AND(LEN('Special Help Table'!$A54)-LEN(SUBSTITUTE('Special Help Table'!$A54,"and ",""))=0,LEN('Special Help Table'!$A54)-LEN(SUBSTITUTE('Special Help Table'!$A54,";",""))=0),'Special Help Table'!$A54,AND(LEN('Special Help Table'!$A54)-LEN(SUBSTITUTE('Special Help Table'!$A54,",","")=1),LEN('Special Help Table'!$A54)-LEN(SUBSTITUTE('Special Help Table'!$A54," ","")=20),LEN('Special Help Table'!$A54)-LEN(SUBSTITUTE('Special Help Table'!$A54," and",""))=0,LEN('Special Help Table'!$A54)-LEN(SUBSTITUTE('Special Help Table'!$A54,",","",FIND(" ",'Special Help Table'!$A54)+1))=0),RIGHT('Special Help Table'!$A54,LEN('Special Help Table'!$A54)-FIND(", ",'Special Help Table'!$A54))&amp;" "&amp;LEFT('Special Help Table'!$A54,FIND(",",'Special Help Table'!$A54)-1),AND(LEN('Special Help Table'!$A54)-LEN(SUBSTITUTE('Special Help Table'!$A54,"editor",""))=6,LEN('Special Help Table'!$A54)-LEN(SUBSTITUTE('Special Help Table'!$A54,"(",""))=0,LEN('Special Help Table'!$A54)-LEN(SUBSTITUTE('Special Help Table'!$A54,"and",""))=3,LEN('Special Help Table'!$A54)-LEN(SUBSTITUTE('Special Help Table'!$A54,",",""))=1,LEN('Special Help Table'!$A54)-LEN(SUBSTITUTE('Special Help Table'!$A54," ",""))=3),'Special Help Table'!$A54)</f>
        <v xml:space="preserve"> Andrew Bonar</v>
      </c>
      <c r="C54" s="4" t="s">
        <v>145</v>
      </c>
      <c r="D54" s="2"/>
      <c r="E54" s="2" t="s">
        <v>16</v>
      </c>
      <c r="F54" s="2" t="s">
        <v>39</v>
      </c>
      <c r="G54" s="2"/>
      <c r="H54" s="2"/>
      <c r="I54" s="2"/>
      <c r="J54" s="2"/>
      <c r="K54" s="3">
        <v>40034</v>
      </c>
      <c r="L54" s="2"/>
      <c r="M54" s="2"/>
      <c r="N54" s="2" t="s">
        <v>18</v>
      </c>
    </row>
    <row r="55" spans="1:14" ht="15.75" customHeight="1" x14ac:dyDescent="0.35">
      <c r="A55" s="2" t="s">
        <v>146</v>
      </c>
      <c r="B55" s="2" t="str" cm="1">
        <f t="array" ref="B55">_xlfn.IFS(AND(LEN('Special Help Table'!$A55)-(LEN(SUBSTITUTE('Special Help Table'!$A55,";","")))=0,LEN('Special Help Table'!$A55)-LEN(SUBSTITUTE('Special Help Table'!$A55,",",""))=1,LEN('Special Help Table'!$A55)-LEN(SUBSTITUTE('Special Help Table'!$A55,"and ",""))=0),MID('Special Help Table'!$A55&amp;" "&amp;'Special Help Table'!$A55,SEARCH(", ",'Special Help Table'!$A55)+1,LEN('Special Help Table'!$A55)),AND(LEN('Special Help Table'!$A55)-(LEN(SUBSTITUTE('Special Help Table'!$A55,";","")))=1,LEN('Special Help Table'!$A55)-LEN(SUBSTITUTE('Special Help Table'!$A55,"and ",""))=0),MID('Special Help Table'!$A55,SEARCH(",",'Special Help Table'!$A55)+1,(SEARCH(";",'Special Help Table'!$A55)-1)-SEARCH(",",'Special Help Table'!$A55))&amp;" "&amp;LEFT('Special Help Table'!$A55,SEARCH(",",'Special Help Table'!$A55)-1)&amp;";"&amp;RIGHT('Special Help Table'!$A55,LEN('Special Help Table'!$A55)-SEARCH(",",'Special Help Table'!$A55,SEARCH(";",'Special Help Table'!$A55)))&amp;" "&amp;MID('Special Help Table'!$A55,SEARCH("; ",'Special Help Table'!$A55)+2,SEARCH(",",'Special Help Table'!$A55,SEARCH(";",'Special Help Table'!$A55))-SEARCH(";",'Special Help Table'!$A55)-2),AND(LEN('Special Help Table'!$A55)-LEN(SUBSTITUTE('Special Help Table'!$A55,"and ",""))=0,LEN('Special Help Table'!$A55)-LEN(SUBSTITUTE('Special Help Table'!$A55,";",""))=0),'Special Help Table'!$A55,AND(LEN('Special Help Table'!$A55)-LEN(SUBSTITUTE('Special Help Table'!$A55,",","")=1),LEN('Special Help Table'!$A55)-LEN(SUBSTITUTE('Special Help Table'!$A55," ","")=20),LEN('Special Help Table'!$A55)-LEN(SUBSTITUTE('Special Help Table'!$A55," and",""))=0,LEN('Special Help Table'!$A55)-LEN(SUBSTITUTE('Special Help Table'!$A55,",","",FIND(" ",'Special Help Table'!$A55)+1))=0),RIGHT('Special Help Table'!$A55,LEN('Special Help Table'!$A55)-FIND(", ",'Special Help Table'!$A55))&amp;" "&amp;LEFT('Special Help Table'!$A55,FIND(",",'Special Help Table'!$A55)-1),AND(LEN('Special Help Table'!$A55)-LEN(SUBSTITUTE('Special Help Table'!$A55,"editor",""))=6,LEN('Special Help Table'!$A55)-LEN(SUBSTITUTE('Special Help Table'!$A55,"(",""))=0,LEN('Special Help Table'!$A55)-LEN(SUBSTITUTE('Special Help Table'!$A55,"and",""))=3,LEN('Special Help Table'!$A55)-LEN(SUBSTITUTE('Special Help Table'!$A55,",",""))=1,LEN('Special Help Table'!$A55)-LEN(SUBSTITUTE('Special Help Table'!$A55," ",""))=3),'Special Help Table'!$A55)</f>
        <v xml:space="preserve"> Marjory Bonar</v>
      </c>
      <c r="C55" s="4" t="s">
        <v>147</v>
      </c>
      <c r="D55" s="2"/>
      <c r="E55" s="2" t="s">
        <v>16</v>
      </c>
      <c r="F55" s="2" t="s">
        <v>39</v>
      </c>
      <c r="G55" s="2"/>
      <c r="H55" s="2"/>
      <c r="I55" s="2"/>
      <c r="J55" s="2"/>
      <c r="K55" s="3">
        <v>40034</v>
      </c>
      <c r="L55" s="2"/>
      <c r="M55" s="2"/>
      <c r="N55" s="2" t="s">
        <v>18</v>
      </c>
    </row>
    <row r="56" spans="1:14" ht="15.75" customHeight="1" x14ac:dyDescent="0.35">
      <c r="A56" s="2" t="s">
        <v>148</v>
      </c>
      <c r="B56" s="2" t="str" cm="1">
        <f t="array" ref="B56">_xlfn.IFS(AND(LEN('Special Help Table'!$A56)-(LEN(SUBSTITUTE('Special Help Table'!$A56,";","")))=0,LEN('Special Help Table'!$A56)-LEN(SUBSTITUTE('Special Help Table'!$A56,",",""))=1,LEN('Special Help Table'!$A56)-LEN(SUBSTITUTE('Special Help Table'!$A56,"and ",""))=0),MID('Special Help Table'!$A56&amp;" "&amp;'Special Help Table'!$A56,SEARCH(", ",'Special Help Table'!$A56)+1,LEN('Special Help Table'!$A56)),AND(LEN('Special Help Table'!$A56)-(LEN(SUBSTITUTE('Special Help Table'!$A56,";","")))=1,LEN('Special Help Table'!$A56)-LEN(SUBSTITUTE('Special Help Table'!$A56,"and ",""))=0),MID('Special Help Table'!$A56,SEARCH(",",'Special Help Table'!$A56)+1,(SEARCH(";",'Special Help Table'!$A56)-1)-SEARCH(",",'Special Help Table'!$A56))&amp;" "&amp;LEFT('Special Help Table'!$A56,SEARCH(",",'Special Help Table'!$A56)-1)&amp;";"&amp;RIGHT('Special Help Table'!$A56,LEN('Special Help Table'!$A56)-SEARCH(",",'Special Help Table'!$A56,SEARCH(";",'Special Help Table'!$A56)))&amp;" "&amp;MID('Special Help Table'!$A56,SEARCH("; ",'Special Help Table'!$A56)+2,SEARCH(",",'Special Help Table'!$A56,SEARCH(";",'Special Help Table'!$A56))-SEARCH(";",'Special Help Table'!$A56)-2),AND(LEN('Special Help Table'!$A56)-LEN(SUBSTITUTE('Special Help Table'!$A56,"and ",""))=0,LEN('Special Help Table'!$A56)-LEN(SUBSTITUTE('Special Help Table'!$A56,";",""))=0),'Special Help Table'!$A56,AND(LEN('Special Help Table'!$A56)-LEN(SUBSTITUTE('Special Help Table'!$A56,",","")=1),LEN('Special Help Table'!$A56)-LEN(SUBSTITUTE('Special Help Table'!$A56," ","")=20),LEN('Special Help Table'!$A56)-LEN(SUBSTITUTE('Special Help Table'!$A56," and",""))=0,LEN('Special Help Table'!$A56)-LEN(SUBSTITUTE('Special Help Table'!$A56,",","",FIND(" ",'Special Help Table'!$A56)+1))=0),RIGHT('Special Help Table'!$A56,LEN('Special Help Table'!$A56)-FIND(", ",'Special Help Table'!$A56))&amp;" "&amp;LEFT('Special Help Table'!$A56,FIND(",",'Special Help Table'!$A56)-1),AND(LEN('Special Help Table'!$A56)-LEN(SUBSTITUTE('Special Help Table'!$A56,"editor",""))=6,LEN('Special Help Table'!$A56)-LEN(SUBSTITUTE('Special Help Table'!$A56,"(",""))=0,LEN('Special Help Table'!$A56)-LEN(SUBSTITUTE('Special Help Table'!$A56,"and",""))=3,LEN('Special Help Table'!$A56)-LEN(SUBSTITUTE('Special Help Table'!$A56,",",""))=1,LEN('Special Help Table'!$A56)-LEN(SUBSTITUTE('Special Help Table'!$A56," ",""))=3),'Special Help Table'!$A56)</f>
        <v xml:space="preserve"> Douglas Bond</v>
      </c>
      <c r="C56" s="2" t="s">
        <v>149</v>
      </c>
      <c r="D56" s="2"/>
      <c r="E56" s="2" t="s">
        <v>16</v>
      </c>
      <c r="F56" s="2" t="s">
        <v>72</v>
      </c>
      <c r="G56" s="2"/>
      <c r="H56" s="2"/>
      <c r="I56" s="2"/>
      <c r="J56" s="2"/>
      <c r="K56" s="3"/>
      <c r="L56" s="2"/>
      <c r="M56" s="2"/>
      <c r="N56" s="2" t="s">
        <v>18</v>
      </c>
    </row>
    <row r="57" spans="1:14" ht="15.75" customHeight="1" x14ac:dyDescent="0.35">
      <c r="A57" s="2" t="s">
        <v>148</v>
      </c>
      <c r="B57" s="2" t="str" cm="1">
        <f t="array" ref="B57">_xlfn.IFS(AND(LEN('Special Help Table'!$A57)-(LEN(SUBSTITUTE('Special Help Table'!$A57,";","")))=0,LEN('Special Help Table'!$A57)-LEN(SUBSTITUTE('Special Help Table'!$A57,",",""))=1,LEN('Special Help Table'!$A57)-LEN(SUBSTITUTE('Special Help Table'!$A57,"and ",""))=0),MID('Special Help Table'!$A57&amp;" "&amp;'Special Help Table'!$A57,SEARCH(", ",'Special Help Table'!$A57)+1,LEN('Special Help Table'!$A57)),AND(LEN('Special Help Table'!$A57)-(LEN(SUBSTITUTE('Special Help Table'!$A57,";","")))=1,LEN('Special Help Table'!$A57)-LEN(SUBSTITUTE('Special Help Table'!$A57,"and ",""))=0),MID('Special Help Table'!$A57,SEARCH(",",'Special Help Table'!$A57)+1,(SEARCH(";",'Special Help Table'!$A57)-1)-SEARCH(",",'Special Help Table'!$A57))&amp;" "&amp;LEFT('Special Help Table'!$A57,SEARCH(",",'Special Help Table'!$A57)-1)&amp;";"&amp;RIGHT('Special Help Table'!$A57,LEN('Special Help Table'!$A57)-SEARCH(",",'Special Help Table'!$A57,SEARCH(";",'Special Help Table'!$A57)))&amp;" "&amp;MID('Special Help Table'!$A57,SEARCH("; ",'Special Help Table'!$A57)+2,SEARCH(",",'Special Help Table'!$A57,SEARCH(";",'Special Help Table'!$A57))-SEARCH(";",'Special Help Table'!$A57)-2),AND(LEN('Special Help Table'!$A57)-LEN(SUBSTITUTE('Special Help Table'!$A57,"and ",""))=0,LEN('Special Help Table'!$A57)-LEN(SUBSTITUTE('Special Help Table'!$A57,";",""))=0),'Special Help Table'!$A57,AND(LEN('Special Help Table'!$A57)-LEN(SUBSTITUTE('Special Help Table'!$A57,",","")=1),LEN('Special Help Table'!$A57)-LEN(SUBSTITUTE('Special Help Table'!$A57," ","")=20),LEN('Special Help Table'!$A57)-LEN(SUBSTITUTE('Special Help Table'!$A57," and",""))=0,LEN('Special Help Table'!$A57)-LEN(SUBSTITUTE('Special Help Table'!$A57,",","",FIND(" ",'Special Help Table'!$A57)+1))=0),RIGHT('Special Help Table'!$A57,LEN('Special Help Table'!$A57)-FIND(", ",'Special Help Table'!$A57))&amp;" "&amp;LEFT('Special Help Table'!$A57,FIND(",",'Special Help Table'!$A57)-1),AND(LEN('Special Help Table'!$A57)-LEN(SUBSTITUTE('Special Help Table'!$A57,"editor",""))=6,LEN('Special Help Table'!$A57)-LEN(SUBSTITUTE('Special Help Table'!$A57,"(",""))=0,LEN('Special Help Table'!$A57)-LEN(SUBSTITUTE('Special Help Table'!$A57,"and",""))=3,LEN('Special Help Table'!$A57)-LEN(SUBSTITUTE('Special Help Table'!$A57,",",""))=1,LEN('Special Help Table'!$A57)-LEN(SUBSTITUTE('Special Help Table'!$A57," ",""))=3),'Special Help Table'!$A57)</f>
        <v xml:space="preserve"> Douglas Bond</v>
      </c>
      <c r="C57" s="2" t="s">
        <v>150</v>
      </c>
      <c r="D57" s="2"/>
      <c r="E57" s="2" t="s">
        <v>16</v>
      </c>
      <c r="F57" s="2" t="s">
        <v>151</v>
      </c>
      <c r="G57" s="2"/>
      <c r="H57" s="2"/>
      <c r="I57" s="2"/>
      <c r="J57" s="2" t="s">
        <v>152</v>
      </c>
      <c r="K57" s="3">
        <v>43211</v>
      </c>
      <c r="L57" s="2"/>
      <c r="M57" s="2"/>
      <c r="N57" s="2" t="s">
        <v>18</v>
      </c>
    </row>
    <row r="58" spans="1:14" ht="15.75" customHeight="1" x14ac:dyDescent="0.35">
      <c r="A58" s="2" t="s">
        <v>148</v>
      </c>
      <c r="B58" s="2" t="str" cm="1">
        <f t="array" ref="B58">_xlfn.IFS(AND(LEN('Special Help Table'!$A58)-(LEN(SUBSTITUTE('Special Help Table'!$A58,";","")))=0,LEN('Special Help Table'!$A58)-LEN(SUBSTITUTE('Special Help Table'!$A58,",",""))=1,LEN('Special Help Table'!$A58)-LEN(SUBSTITUTE('Special Help Table'!$A58,"and ",""))=0),MID('Special Help Table'!$A58&amp;" "&amp;'Special Help Table'!$A58,SEARCH(", ",'Special Help Table'!$A58)+1,LEN('Special Help Table'!$A58)),AND(LEN('Special Help Table'!$A58)-(LEN(SUBSTITUTE('Special Help Table'!$A58,";","")))=1,LEN('Special Help Table'!$A58)-LEN(SUBSTITUTE('Special Help Table'!$A58,"and ",""))=0),MID('Special Help Table'!$A58,SEARCH(",",'Special Help Table'!$A58)+1,(SEARCH(";",'Special Help Table'!$A58)-1)-SEARCH(",",'Special Help Table'!$A58))&amp;" "&amp;LEFT('Special Help Table'!$A58,SEARCH(",",'Special Help Table'!$A58)-1)&amp;";"&amp;RIGHT('Special Help Table'!$A58,LEN('Special Help Table'!$A58)-SEARCH(",",'Special Help Table'!$A58,SEARCH(";",'Special Help Table'!$A58)))&amp;" "&amp;MID('Special Help Table'!$A58,SEARCH("; ",'Special Help Table'!$A58)+2,SEARCH(",",'Special Help Table'!$A58,SEARCH(";",'Special Help Table'!$A58))-SEARCH(";",'Special Help Table'!$A58)-2),AND(LEN('Special Help Table'!$A58)-LEN(SUBSTITUTE('Special Help Table'!$A58,"and ",""))=0,LEN('Special Help Table'!$A58)-LEN(SUBSTITUTE('Special Help Table'!$A58,";",""))=0),'Special Help Table'!$A58,AND(LEN('Special Help Table'!$A58)-LEN(SUBSTITUTE('Special Help Table'!$A58,",","")=1),LEN('Special Help Table'!$A58)-LEN(SUBSTITUTE('Special Help Table'!$A58," ","")=20),LEN('Special Help Table'!$A58)-LEN(SUBSTITUTE('Special Help Table'!$A58," and",""))=0,LEN('Special Help Table'!$A58)-LEN(SUBSTITUTE('Special Help Table'!$A58,",","",FIND(" ",'Special Help Table'!$A58)+1))=0),RIGHT('Special Help Table'!$A58,LEN('Special Help Table'!$A58)-FIND(", ",'Special Help Table'!$A58))&amp;" "&amp;LEFT('Special Help Table'!$A58,FIND(",",'Special Help Table'!$A58)-1),AND(LEN('Special Help Table'!$A58)-LEN(SUBSTITUTE('Special Help Table'!$A58,"editor",""))=6,LEN('Special Help Table'!$A58)-LEN(SUBSTITUTE('Special Help Table'!$A58,"(",""))=0,LEN('Special Help Table'!$A58)-LEN(SUBSTITUTE('Special Help Table'!$A58,"and",""))=3,LEN('Special Help Table'!$A58)-LEN(SUBSTITUTE('Special Help Table'!$A58,",",""))=1,LEN('Special Help Table'!$A58)-LEN(SUBSTITUTE('Special Help Table'!$A58," ",""))=3),'Special Help Table'!$A58)</f>
        <v xml:space="preserve"> Douglas Bond</v>
      </c>
      <c r="C58" s="4" t="s">
        <v>153</v>
      </c>
      <c r="D58" s="2"/>
      <c r="E58" s="2" t="s">
        <v>16</v>
      </c>
      <c r="F58" s="2" t="s">
        <v>28</v>
      </c>
      <c r="G58" s="2"/>
      <c r="H58" s="2"/>
      <c r="I58" s="2"/>
      <c r="J58" s="2" t="s">
        <v>154</v>
      </c>
      <c r="K58" s="3">
        <v>43832</v>
      </c>
      <c r="L58" s="2"/>
      <c r="M58" s="2"/>
      <c r="N58" s="2" t="s">
        <v>18</v>
      </c>
    </row>
    <row r="59" spans="1:14" ht="15.75" customHeight="1" x14ac:dyDescent="0.35">
      <c r="A59" s="2" t="s">
        <v>148</v>
      </c>
      <c r="B59" s="2" t="str" cm="1">
        <f t="array" ref="B59">_xlfn.IFS(AND(LEN('Special Help Table'!$A59)-(LEN(SUBSTITUTE('Special Help Table'!$A59,";","")))=0,LEN('Special Help Table'!$A59)-LEN(SUBSTITUTE('Special Help Table'!$A59,",",""))=1,LEN('Special Help Table'!$A59)-LEN(SUBSTITUTE('Special Help Table'!$A59,"and ",""))=0),MID('Special Help Table'!$A59&amp;" "&amp;'Special Help Table'!$A59,SEARCH(", ",'Special Help Table'!$A59)+1,LEN('Special Help Table'!$A59)),AND(LEN('Special Help Table'!$A59)-(LEN(SUBSTITUTE('Special Help Table'!$A59,";","")))=1,LEN('Special Help Table'!$A59)-LEN(SUBSTITUTE('Special Help Table'!$A59,"and ",""))=0),MID('Special Help Table'!$A59,SEARCH(",",'Special Help Table'!$A59)+1,(SEARCH(";",'Special Help Table'!$A59)-1)-SEARCH(",",'Special Help Table'!$A59))&amp;" "&amp;LEFT('Special Help Table'!$A59,SEARCH(",",'Special Help Table'!$A59)-1)&amp;";"&amp;RIGHT('Special Help Table'!$A59,LEN('Special Help Table'!$A59)-SEARCH(",",'Special Help Table'!$A59,SEARCH(";",'Special Help Table'!$A59)))&amp;" "&amp;MID('Special Help Table'!$A59,SEARCH("; ",'Special Help Table'!$A59)+2,SEARCH(",",'Special Help Table'!$A59,SEARCH(";",'Special Help Table'!$A59))-SEARCH(";",'Special Help Table'!$A59)-2),AND(LEN('Special Help Table'!$A59)-LEN(SUBSTITUTE('Special Help Table'!$A59,"and ",""))=0,LEN('Special Help Table'!$A59)-LEN(SUBSTITUTE('Special Help Table'!$A59,";",""))=0),'Special Help Table'!$A59,AND(LEN('Special Help Table'!$A59)-LEN(SUBSTITUTE('Special Help Table'!$A59,",","")=1),LEN('Special Help Table'!$A59)-LEN(SUBSTITUTE('Special Help Table'!$A59," ","")=20),LEN('Special Help Table'!$A59)-LEN(SUBSTITUTE('Special Help Table'!$A59," and",""))=0,LEN('Special Help Table'!$A59)-LEN(SUBSTITUTE('Special Help Table'!$A59,",","",FIND(" ",'Special Help Table'!$A59)+1))=0),RIGHT('Special Help Table'!$A59,LEN('Special Help Table'!$A59)-FIND(", ",'Special Help Table'!$A59))&amp;" "&amp;LEFT('Special Help Table'!$A59,FIND(",",'Special Help Table'!$A59)-1),AND(LEN('Special Help Table'!$A59)-LEN(SUBSTITUTE('Special Help Table'!$A59,"editor",""))=6,LEN('Special Help Table'!$A59)-LEN(SUBSTITUTE('Special Help Table'!$A59,"(",""))=0,LEN('Special Help Table'!$A59)-LEN(SUBSTITUTE('Special Help Table'!$A59,"and",""))=3,LEN('Special Help Table'!$A59)-LEN(SUBSTITUTE('Special Help Table'!$A59,",",""))=1,LEN('Special Help Table'!$A59)-LEN(SUBSTITUTE('Special Help Table'!$A59," ",""))=3),'Special Help Table'!$A59)</f>
        <v xml:space="preserve"> Douglas Bond</v>
      </c>
      <c r="C59" s="4" t="s">
        <v>155</v>
      </c>
      <c r="D59" s="2"/>
      <c r="E59" s="2" t="s">
        <v>16</v>
      </c>
      <c r="F59" s="2" t="s">
        <v>72</v>
      </c>
      <c r="G59" s="2"/>
      <c r="H59" s="2"/>
      <c r="I59" s="2"/>
      <c r="J59" s="2"/>
      <c r="K59" s="3"/>
      <c r="L59" s="2"/>
      <c r="M59" s="2"/>
      <c r="N59" s="2" t="s">
        <v>18</v>
      </c>
    </row>
    <row r="60" spans="1:14" ht="15.75" customHeight="1" x14ac:dyDescent="0.35">
      <c r="A60" s="2" t="s">
        <v>148</v>
      </c>
      <c r="B60" s="2" t="str" cm="1">
        <f t="array" ref="B60">_xlfn.IFS(AND(LEN('Special Help Table'!$A60)-(LEN(SUBSTITUTE('Special Help Table'!$A60,";","")))=0,LEN('Special Help Table'!$A60)-LEN(SUBSTITUTE('Special Help Table'!$A60,",",""))=1,LEN('Special Help Table'!$A60)-LEN(SUBSTITUTE('Special Help Table'!$A60,"and ",""))=0),MID('Special Help Table'!$A60&amp;" "&amp;'Special Help Table'!$A60,SEARCH(", ",'Special Help Table'!$A60)+1,LEN('Special Help Table'!$A60)),AND(LEN('Special Help Table'!$A60)-(LEN(SUBSTITUTE('Special Help Table'!$A60,";","")))=1,LEN('Special Help Table'!$A60)-LEN(SUBSTITUTE('Special Help Table'!$A60,"and ",""))=0),MID('Special Help Table'!$A60,SEARCH(",",'Special Help Table'!$A60)+1,(SEARCH(";",'Special Help Table'!$A60)-1)-SEARCH(",",'Special Help Table'!$A60))&amp;" "&amp;LEFT('Special Help Table'!$A60,SEARCH(",",'Special Help Table'!$A60)-1)&amp;";"&amp;RIGHT('Special Help Table'!$A60,LEN('Special Help Table'!$A60)-SEARCH(",",'Special Help Table'!$A60,SEARCH(";",'Special Help Table'!$A60)))&amp;" "&amp;MID('Special Help Table'!$A60,SEARCH("; ",'Special Help Table'!$A60)+2,SEARCH(",",'Special Help Table'!$A60,SEARCH(";",'Special Help Table'!$A60))-SEARCH(";",'Special Help Table'!$A60)-2),AND(LEN('Special Help Table'!$A60)-LEN(SUBSTITUTE('Special Help Table'!$A60,"and ",""))=0,LEN('Special Help Table'!$A60)-LEN(SUBSTITUTE('Special Help Table'!$A60,";",""))=0),'Special Help Table'!$A60,AND(LEN('Special Help Table'!$A60)-LEN(SUBSTITUTE('Special Help Table'!$A60,",","")=1),LEN('Special Help Table'!$A60)-LEN(SUBSTITUTE('Special Help Table'!$A60," ","")=20),LEN('Special Help Table'!$A60)-LEN(SUBSTITUTE('Special Help Table'!$A60," and",""))=0,LEN('Special Help Table'!$A60)-LEN(SUBSTITUTE('Special Help Table'!$A60,",","",FIND(" ",'Special Help Table'!$A60)+1))=0),RIGHT('Special Help Table'!$A60,LEN('Special Help Table'!$A60)-FIND(", ",'Special Help Table'!$A60))&amp;" "&amp;LEFT('Special Help Table'!$A60,FIND(",",'Special Help Table'!$A60)-1),AND(LEN('Special Help Table'!$A60)-LEN(SUBSTITUTE('Special Help Table'!$A60,"editor",""))=6,LEN('Special Help Table'!$A60)-LEN(SUBSTITUTE('Special Help Table'!$A60,"(",""))=0,LEN('Special Help Table'!$A60)-LEN(SUBSTITUTE('Special Help Table'!$A60,"and",""))=3,LEN('Special Help Table'!$A60)-LEN(SUBSTITUTE('Special Help Table'!$A60,",",""))=1,LEN('Special Help Table'!$A60)-LEN(SUBSTITUTE('Special Help Table'!$A60," ",""))=3),'Special Help Table'!$A60)</f>
        <v xml:space="preserve"> Douglas Bond</v>
      </c>
      <c r="C60" s="2" t="s">
        <v>156</v>
      </c>
      <c r="D60" s="2"/>
      <c r="E60" s="2" t="s">
        <v>16</v>
      </c>
      <c r="F60" s="2" t="s">
        <v>151</v>
      </c>
      <c r="G60" s="2"/>
      <c r="H60" s="2"/>
      <c r="I60" s="2"/>
      <c r="J60" s="2" t="s">
        <v>152</v>
      </c>
      <c r="K60" s="3">
        <v>43160</v>
      </c>
      <c r="L60" s="2"/>
      <c r="M60" s="2"/>
      <c r="N60" s="2" t="s">
        <v>18</v>
      </c>
    </row>
    <row r="61" spans="1:14" ht="15.75" customHeight="1" x14ac:dyDescent="0.35">
      <c r="A61" s="2" t="s">
        <v>148</v>
      </c>
      <c r="B61" s="2" t="str" cm="1">
        <f t="array" ref="B61">_xlfn.IFS(AND(LEN('Special Help Table'!$A61)-(LEN(SUBSTITUTE('Special Help Table'!$A61,";","")))=0,LEN('Special Help Table'!$A61)-LEN(SUBSTITUTE('Special Help Table'!$A61,",",""))=1,LEN('Special Help Table'!$A61)-LEN(SUBSTITUTE('Special Help Table'!$A61,"and ",""))=0),MID('Special Help Table'!$A61&amp;" "&amp;'Special Help Table'!$A61,SEARCH(", ",'Special Help Table'!$A61)+1,LEN('Special Help Table'!$A61)),AND(LEN('Special Help Table'!$A61)-(LEN(SUBSTITUTE('Special Help Table'!$A61,";","")))=1,LEN('Special Help Table'!$A61)-LEN(SUBSTITUTE('Special Help Table'!$A61,"and ",""))=0),MID('Special Help Table'!$A61,SEARCH(",",'Special Help Table'!$A61)+1,(SEARCH(";",'Special Help Table'!$A61)-1)-SEARCH(",",'Special Help Table'!$A61))&amp;" "&amp;LEFT('Special Help Table'!$A61,SEARCH(",",'Special Help Table'!$A61)-1)&amp;";"&amp;RIGHT('Special Help Table'!$A61,LEN('Special Help Table'!$A61)-SEARCH(",",'Special Help Table'!$A61,SEARCH(";",'Special Help Table'!$A61)))&amp;" "&amp;MID('Special Help Table'!$A61,SEARCH("; ",'Special Help Table'!$A61)+2,SEARCH(",",'Special Help Table'!$A61,SEARCH(";",'Special Help Table'!$A61))-SEARCH(";",'Special Help Table'!$A61)-2),AND(LEN('Special Help Table'!$A61)-LEN(SUBSTITUTE('Special Help Table'!$A61,"and ",""))=0,LEN('Special Help Table'!$A61)-LEN(SUBSTITUTE('Special Help Table'!$A61,";",""))=0),'Special Help Table'!$A61,AND(LEN('Special Help Table'!$A61)-LEN(SUBSTITUTE('Special Help Table'!$A61,",","")=1),LEN('Special Help Table'!$A61)-LEN(SUBSTITUTE('Special Help Table'!$A61," ","")=20),LEN('Special Help Table'!$A61)-LEN(SUBSTITUTE('Special Help Table'!$A61," and",""))=0,LEN('Special Help Table'!$A61)-LEN(SUBSTITUTE('Special Help Table'!$A61,",","",FIND(" ",'Special Help Table'!$A61)+1))=0),RIGHT('Special Help Table'!$A61,LEN('Special Help Table'!$A61)-FIND(", ",'Special Help Table'!$A61))&amp;" "&amp;LEFT('Special Help Table'!$A61,FIND(",",'Special Help Table'!$A61)-1),AND(LEN('Special Help Table'!$A61)-LEN(SUBSTITUTE('Special Help Table'!$A61,"editor",""))=6,LEN('Special Help Table'!$A61)-LEN(SUBSTITUTE('Special Help Table'!$A61,"(",""))=0,LEN('Special Help Table'!$A61)-LEN(SUBSTITUTE('Special Help Table'!$A61,"and",""))=3,LEN('Special Help Table'!$A61)-LEN(SUBSTITUTE('Special Help Table'!$A61,",",""))=1,LEN('Special Help Table'!$A61)-LEN(SUBSTITUTE('Special Help Table'!$A61," ",""))=3),'Special Help Table'!$A61)</f>
        <v xml:space="preserve"> Douglas Bond</v>
      </c>
      <c r="C61" s="4" t="s">
        <v>157</v>
      </c>
      <c r="D61" s="2"/>
      <c r="E61" s="2" t="s">
        <v>16</v>
      </c>
      <c r="F61" s="2" t="s">
        <v>151</v>
      </c>
      <c r="G61" s="2"/>
      <c r="H61" s="2"/>
      <c r="I61" s="2"/>
      <c r="J61" s="2" t="s">
        <v>152</v>
      </c>
      <c r="K61" s="3">
        <v>43211</v>
      </c>
      <c r="L61" s="2"/>
      <c r="M61" s="2"/>
      <c r="N61" s="2" t="s">
        <v>18</v>
      </c>
    </row>
    <row r="62" spans="1:14" ht="15.75" customHeight="1" x14ac:dyDescent="0.35">
      <c r="A62" s="2" t="s">
        <v>158</v>
      </c>
      <c r="B62" s="2" t="e" cm="1">
        <f t="array" ref="B62">_xlfn.IFS(AND(LEN('Special Help Table'!$A62)-(LEN(SUBSTITUTE('Special Help Table'!$A62,";","")))=0,LEN('Special Help Table'!$A62)-LEN(SUBSTITUTE('Special Help Table'!$A62,",",""))=1,LEN('Special Help Table'!$A62)-LEN(SUBSTITUTE('Special Help Table'!$A62,"and ",""))=0),MID('Special Help Table'!$A62&amp;" "&amp;'Special Help Table'!$A62,SEARCH(", ",'Special Help Table'!$A62)+1,LEN('Special Help Table'!$A62)),AND(LEN('Special Help Table'!$A62)-(LEN(SUBSTITUTE('Special Help Table'!$A62,";","")))=1,LEN('Special Help Table'!$A62)-LEN(SUBSTITUTE('Special Help Table'!$A62,"and ",""))=0),MID('Special Help Table'!$A62,SEARCH(",",'Special Help Table'!$A62)+1,(SEARCH(";",'Special Help Table'!$A62)-1)-SEARCH(",",'Special Help Table'!$A62))&amp;" "&amp;LEFT('Special Help Table'!$A62,SEARCH(",",'Special Help Table'!$A62)-1)&amp;";"&amp;RIGHT('Special Help Table'!$A62,LEN('Special Help Table'!$A62)-SEARCH(",",'Special Help Table'!$A62,SEARCH(";",'Special Help Table'!$A62)))&amp;" "&amp;MID('Special Help Table'!$A62,SEARCH("; ",'Special Help Table'!$A62)+2,SEARCH(",",'Special Help Table'!$A62,SEARCH(";",'Special Help Table'!$A62))-SEARCH(";",'Special Help Table'!$A62)-2),AND(LEN('Special Help Table'!$A62)-LEN(SUBSTITUTE('Special Help Table'!$A62,"and ",""))=0,LEN('Special Help Table'!$A62)-LEN(SUBSTITUTE('Special Help Table'!$A62,";",""))=0),'Special Help Table'!$A62,AND(LEN('Special Help Table'!$A62)-LEN(SUBSTITUTE('Special Help Table'!$A62,",","")=1),LEN('Special Help Table'!$A62)-LEN(SUBSTITUTE('Special Help Table'!$A62," ","")=20),LEN('Special Help Table'!$A62)-LEN(SUBSTITUTE('Special Help Table'!$A62," and",""))=0,LEN('Special Help Table'!$A62)-LEN(SUBSTITUTE('Special Help Table'!$A62,",","",FIND(" ",'Special Help Table'!$A62)+1))=0),RIGHT('Special Help Table'!$A62,LEN('Special Help Table'!$A62)-FIND(", ",'Special Help Table'!$A62))&amp;" "&amp;LEFT('Special Help Table'!$A62,FIND(",",'Special Help Table'!$A62)-1),AND(LEN('Special Help Table'!$A62)-LEN(SUBSTITUTE('Special Help Table'!$A62,"editor",""))=6,LEN('Special Help Table'!$A62)-LEN(SUBSTITUTE('Special Help Table'!$A62,"(",""))=0,LEN('Special Help Table'!$A62)-LEN(SUBSTITUTE('Special Help Table'!$A62,"and",""))=3,LEN('Special Help Table'!$A62)-LEN(SUBSTITUTE('Special Help Table'!$A62,",",""))=1,LEN('Special Help Table'!$A62)-LEN(SUBSTITUTE('Special Help Table'!$A62," ",""))=3),'Special Help Table'!$A62)</f>
        <v>#N/A</v>
      </c>
      <c r="C62" s="4" t="s">
        <v>159</v>
      </c>
      <c r="D62" s="2" t="s">
        <v>160</v>
      </c>
      <c r="E62" s="2" t="s">
        <v>16</v>
      </c>
      <c r="F62" s="2" t="s">
        <v>39</v>
      </c>
      <c r="G62" s="2"/>
      <c r="H62" s="2"/>
      <c r="I62" s="2"/>
      <c r="J62" s="2"/>
      <c r="K62" s="3">
        <v>43704</v>
      </c>
      <c r="L62" s="2"/>
      <c r="M62" s="2"/>
      <c r="N62" s="2" t="s">
        <v>18</v>
      </c>
    </row>
    <row r="63" spans="1:14" ht="15.75" customHeight="1" x14ac:dyDescent="0.35">
      <c r="A63" s="2" t="s">
        <v>161</v>
      </c>
      <c r="B63" s="2" t="str" cm="1">
        <f t="array" ref="B63">_xlfn.IFS(AND(LEN('Special Help Table'!$A63)-(LEN(SUBSTITUTE('Special Help Table'!$A63,";","")))=0,LEN('Special Help Table'!$A63)-LEN(SUBSTITUTE('Special Help Table'!$A63,",",""))=1,LEN('Special Help Table'!$A63)-LEN(SUBSTITUTE('Special Help Table'!$A63,"and ",""))=0),MID('Special Help Table'!$A63&amp;" "&amp;'Special Help Table'!$A63,SEARCH(", ",'Special Help Table'!$A63)+1,LEN('Special Help Table'!$A63)),AND(LEN('Special Help Table'!$A63)-(LEN(SUBSTITUTE('Special Help Table'!$A63,";","")))=1,LEN('Special Help Table'!$A63)-LEN(SUBSTITUTE('Special Help Table'!$A63,"and ",""))=0),MID('Special Help Table'!$A63,SEARCH(",",'Special Help Table'!$A63)+1,(SEARCH(";",'Special Help Table'!$A63)-1)-SEARCH(",",'Special Help Table'!$A63))&amp;" "&amp;LEFT('Special Help Table'!$A63,SEARCH(",",'Special Help Table'!$A63)-1)&amp;";"&amp;RIGHT('Special Help Table'!$A63,LEN('Special Help Table'!$A63)-SEARCH(",",'Special Help Table'!$A63,SEARCH(";",'Special Help Table'!$A63)))&amp;" "&amp;MID('Special Help Table'!$A63,SEARCH("; ",'Special Help Table'!$A63)+2,SEARCH(",",'Special Help Table'!$A63,SEARCH(";",'Special Help Table'!$A63))-SEARCH(";",'Special Help Table'!$A63)-2),AND(LEN('Special Help Table'!$A63)-LEN(SUBSTITUTE('Special Help Table'!$A63,"and ",""))=0,LEN('Special Help Table'!$A63)-LEN(SUBSTITUTE('Special Help Table'!$A63,";",""))=0),'Special Help Table'!$A63,AND(LEN('Special Help Table'!$A63)-LEN(SUBSTITUTE('Special Help Table'!$A63,",","")=1),LEN('Special Help Table'!$A63)-LEN(SUBSTITUTE('Special Help Table'!$A63," ","")=20),LEN('Special Help Table'!$A63)-LEN(SUBSTITUTE('Special Help Table'!$A63," and",""))=0,LEN('Special Help Table'!$A63)-LEN(SUBSTITUTE('Special Help Table'!$A63,",","",FIND(" ",'Special Help Table'!$A63)+1))=0),RIGHT('Special Help Table'!$A63,LEN('Special Help Table'!$A63)-FIND(", ",'Special Help Table'!$A63))&amp;" "&amp;LEFT('Special Help Table'!$A63,FIND(",",'Special Help Table'!$A63)-1),AND(LEN('Special Help Table'!$A63)-LEN(SUBSTITUTE('Special Help Table'!$A63,"editor",""))=6,LEN('Special Help Table'!$A63)-LEN(SUBSTITUTE('Special Help Table'!$A63,"(",""))=0,LEN('Special Help Table'!$A63)-LEN(SUBSTITUTE('Special Help Table'!$A63,"and",""))=3,LEN('Special Help Table'!$A63)-LEN(SUBSTITUTE('Special Help Table'!$A63,",",""))=1,LEN('Special Help Table'!$A63)-LEN(SUBSTITUTE('Special Help Table'!$A63," ",""))=3),'Special Help Table'!$A63)</f>
        <v xml:space="preserve"> Brian Borgman</v>
      </c>
      <c r="C63" s="4" t="s">
        <v>162</v>
      </c>
      <c r="D63" s="2" t="s">
        <v>163</v>
      </c>
      <c r="E63" s="2" t="s">
        <v>16</v>
      </c>
      <c r="F63" s="2" t="s">
        <v>36</v>
      </c>
      <c r="G63" s="2"/>
      <c r="H63" s="2"/>
      <c r="I63" s="2"/>
      <c r="J63" s="2" t="s">
        <v>164</v>
      </c>
      <c r="K63" s="3">
        <v>42705</v>
      </c>
      <c r="L63" s="2"/>
      <c r="M63" s="2"/>
      <c r="N63" s="2" t="s">
        <v>18</v>
      </c>
    </row>
    <row r="64" spans="1:14" ht="15.75" customHeight="1" x14ac:dyDescent="0.35">
      <c r="A64" s="2" t="s">
        <v>165</v>
      </c>
      <c r="B64" s="2" t="str" cm="1">
        <f t="array" ref="B64">_xlfn.IFS(AND(LEN('Special Help Table'!$A64)-(LEN(SUBSTITUTE('Special Help Table'!$A64,";","")))=0,LEN('Special Help Table'!$A64)-LEN(SUBSTITUTE('Special Help Table'!$A64,",",""))=1,LEN('Special Help Table'!$A64)-LEN(SUBSTITUTE('Special Help Table'!$A64,"and ",""))=0),MID('Special Help Table'!$A64&amp;" "&amp;'Special Help Table'!$A64,SEARCH(", ",'Special Help Table'!$A64)+1,LEN('Special Help Table'!$A64)),AND(LEN('Special Help Table'!$A64)-(LEN(SUBSTITUTE('Special Help Table'!$A64,";","")))=1,LEN('Special Help Table'!$A64)-LEN(SUBSTITUTE('Special Help Table'!$A64,"and ",""))=0),MID('Special Help Table'!$A64,SEARCH(",",'Special Help Table'!$A64)+1,(SEARCH(";",'Special Help Table'!$A64)-1)-SEARCH(",",'Special Help Table'!$A64))&amp;" "&amp;LEFT('Special Help Table'!$A64,SEARCH(",",'Special Help Table'!$A64)-1)&amp;";"&amp;RIGHT('Special Help Table'!$A64,LEN('Special Help Table'!$A64)-SEARCH(",",'Special Help Table'!$A64,SEARCH(";",'Special Help Table'!$A64)))&amp;" "&amp;MID('Special Help Table'!$A64,SEARCH("; ",'Special Help Table'!$A64)+2,SEARCH(",",'Special Help Table'!$A64,SEARCH(";",'Special Help Table'!$A64))-SEARCH(";",'Special Help Table'!$A64)-2),AND(LEN('Special Help Table'!$A64)-LEN(SUBSTITUTE('Special Help Table'!$A64,"and ",""))=0,LEN('Special Help Table'!$A64)-LEN(SUBSTITUTE('Special Help Table'!$A64,";",""))=0),'Special Help Table'!$A64,AND(LEN('Special Help Table'!$A64)-LEN(SUBSTITUTE('Special Help Table'!$A64,",","")=1),LEN('Special Help Table'!$A64)-LEN(SUBSTITUTE('Special Help Table'!$A64," ","")=20),LEN('Special Help Table'!$A64)-LEN(SUBSTITUTE('Special Help Table'!$A64," and",""))=0,LEN('Special Help Table'!$A64)-LEN(SUBSTITUTE('Special Help Table'!$A64,",","",FIND(" ",'Special Help Table'!$A64)+1))=0),RIGHT('Special Help Table'!$A64,LEN('Special Help Table'!$A64)-FIND(", ",'Special Help Table'!$A64))&amp;" "&amp;LEFT('Special Help Table'!$A64,FIND(",",'Special Help Table'!$A64)-1),AND(LEN('Special Help Table'!$A64)-LEN(SUBSTITUTE('Special Help Table'!$A64,"editor",""))=6,LEN('Special Help Table'!$A64)-LEN(SUBSTITUTE('Special Help Table'!$A64,"(",""))=0,LEN('Special Help Table'!$A64)-LEN(SUBSTITUTE('Special Help Table'!$A64,"and",""))=3,LEN('Special Help Table'!$A64)-LEN(SUBSTITUTE('Special Help Table'!$A64,",",""))=1,LEN('Special Help Table'!$A64)-LEN(SUBSTITUTE('Special Help Table'!$A64," ",""))=3),'Special Help Table'!$A64)</f>
        <v xml:space="preserve"> Albert Borgmann</v>
      </c>
      <c r="C64" s="4" t="s">
        <v>166</v>
      </c>
      <c r="D64" s="2"/>
      <c r="E64" s="2" t="s">
        <v>16</v>
      </c>
      <c r="F64" s="2" t="s">
        <v>17</v>
      </c>
      <c r="G64" s="2"/>
      <c r="H64" s="2"/>
      <c r="I64" s="2"/>
      <c r="J64" s="2" t="s">
        <v>167</v>
      </c>
      <c r="K64" s="3">
        <v>44423</v>
      </c>
      <c r="L64" s="2"/>
      <c r="M64" s="2"/>
      <c r="N64" s="2" t="s">
        <v>18</v>
      </c>
    </row>
    <row r="65" spans="1:14" ht="15.75" customHeight="1" x14ac:dyDescent="0.35">
      <c r="A65" s="2" t="s">
        <v>168</v>
      </c>
      <c r="B65" s="2" t="str" cm="1">
        <f t="array" ref="B65">_xlfn.IFS(AND(LEN('Special Help Table'!$A65)-(LEN(SUBSTITUTE('Special Help Table'!$A65,";","")))=0,LEN('Special Help Table'!$A65)-LEN(SUBSTITUTE('Special Help Table'!$A65,",",""))=1,LEN('Special Help Table'!$A65)-LEN(SUBSTITUTE('Special Help Table'!$A65,"and ",""))=0),MID('Special Help Table'!$A65&amp;" "&amp;'Special Help Table'!$A65,SEARCH(", ",'Special Help Table'!$A65)+1,LEN('Special Help Table'!$A65)),AND(LEN('Special Help Table'!$A65)-(LEN(SUBSTITUTE('Special Help Table'!$A65,";","")))=1,LEN('Special Help Table'!$A65)-LEN(SUBSTITUTE('Special Help Table'!$A65,"and ",""))=0),MID('Special Help Table'!$A65,SEARCH(",",'Special Help Table'!$A65)+1,(SEARCH(";",'Special Help Table'!$A65)-1)-SEARCH(",",'Special Help Table'!$A65))&amp;" "&amp;LEFT('Special Help Table'!$A65,SEARCH(",",'Special Help Table'!$A65)-1)&amp;";"&amp;RIGHT('Special Help Table'!$A65,LEN('Special Help Table'!$A65)-SEARCH(",",'Special Help Table'!$A65,SEARCH(";",'Special Help Table'!$A65)))&amp;" "&amp;MID('Special Help Table'!$A65,SEARCH("; ",'Special Help Table'!$A65)+2,SEARCH(",",'Special Help Table'!$A65,SEARCH(";",'Special Help Table'!$A65))-SEARCH(";",'Special Help Table'!$A65)-2),AND(LEN('Special Help Table'!$A65)-LEN(SUBSTITUTE('Special Help Table'!$A65,"and ",""))=0,LEN('Special Help Table'!$A65)-LEN(SUBSTITUTE('Special Help Table'!$A65,";",""))=0),'Special Help Table'!$A65,AND(LEN('Special Help Table'!$A65)-LEN(SUBSTITUTE('Special Help Table'!$A65,",","")=1),LEN('Special Help Table'!$A65)-LEN(SUBSTITUTE('Special Help Table'!$A65," ","")=20),LEN('Special Help Table'!$A65)-LEN(SUBSTITUTE('Special Help Table'!$A65," and",""))=0,LEN('Special Help Table'!$A65)-LEN(SUBSTITUTE('Special Help Table'!$A65,",","",FIND(" ",'Special Help Table'!$A65)+1))=0),RIGHT('Special Help Table'!$A65,LEN('Special Help Table'!$A65)-FIND(", ",'Special Help Table'!$A65))&amp;" "&amp;LEFT('Special Help Table'!$A65,FIND(",",'Special Help Table'!$A65)-1),AND(LEN('Special Help Table'!$A65)-LEN(SUBSTITUTE('Special Help Table'!$A65,"editor",""))=6,LEN('Special Help Table'!$A65)-LEN(SUBSTITUTE('Special Help Table'!$A65,"(",""))=0,LEN('Special Help Table'!$A65)-LEN(SUBSTITUTE('Special Help Table'!$A65,"and",""))=3,LEN('Special Help Table'!$A65)-LEN(SUBSTITUTE('Special Help Table'!$A65,",",""))=1,LEN('Special Help Table'!$A65)-LEN(SUBSTITUTE('Special Help Table'!$A65," ",""))=3),'Special Help Table'!$A65)</f>
        <v xml:space="preserve"> Thomas Boston</v>
      </c>
      <c r="C65" s="4" t="s">
        <v>169</v>
      </c>
      <c r="D65" s="2"/>
      <c r="E65" s="2" t="s">
        <v>16</v>
      </c>
      <c r="F65" s="2" t="s">
        <v>28</v>
      </c>
      <c r="G65" s="2" t="s">
        <v>36</v>
      </c>
      <c r="H65" s="2" t="s">
        <v>82</v>
      </c>
      <c r="I65" s="2"/>
      <c r="J65" s="2"/>
      <c r="K65" s="3">
        <v>43046</v>
      </c>
      <c r="L65" s="2"/>
      <c r="M65" s="2"/>
      <c r="N65" s="2" t="s">
        <v>18</v>
      </c>
    </row>
    <row r="66" spans="1:14" ht="15.75" customHeight="1" x14ac:dyDescent="0.35">
      <c r="A66" s="2" t="s">
        <v>170</v>
      </c>
      <c r="B66" s="2" t="str" cm="1">
        <f t="array" ref="B66">_xlfn.IFS(AND(LEN('Special Help Table'!$A66)-(LEN(SUBSTITUTE('Special Help Table'!$A66,";","")))=0,LEN('Special Help Table'!$A66)-LEN(SUBSTITUTE('Special Help Table'!$A66,",",""))=1,LEN('Special Help Table'!$A66)-LEN(SUBSTITUTE('Special Help Table'!$A66,"and ",""))=0),MID('Special Help Table'!$A66&amp;" "&amp;'Special Help Table'!$A66,SEARCH(", ",'Special Help Table'!$A66)+1,LEN('Special Help Table'!$A66)),AND(LEN('Special Help Table'!$A66)-(LEN(SUBSTITUTE('Special Help Table'!$A66,";","")))=1,LEN('Special Help Table'!$A66)-LEN(SUBSTITUTE('Special Help Table'!$A66,"and ",""))=0),MID('Special Help Table'!$A66,SEARCH(",",'Special Help Table'!$A66)+1,(SEARCH(";",'Special Help Table'!$A66)-1)-SEARCH(",",'Special Help Table'!$A66))&amp;" "&amp;LEFT('Special Help Table'!$A66,SEARCH(",",'Special Help Table'!$A66)-1)&amp;";"&amp;RIGHT('Special Help Table'!$A66,LEN('Special Help Table'!$A66)-SEARCH(",",'Special Help Table'!$A66,SEARCH(";",'Special Help Table'!$A66)))&amp;" "&amp;MID('Special Help Table'!$A66,SEARCH("; ",'Special Help Table'!$A66)+2,SEARCH(",",'Special Help Table'!$A66,SEARCH(";",'Special Help Table'!$A66))-SEARCH(";",'Special Help Table'!$A66)-2),AND(LEN('Special Help Table'!$A66)-LEN(SUBSTITUTE('Special Help Table'!$A66,"and ",""))=0,LEN('Special Help Table'!$A66)-LEN(SUBSTITUTE('Special Help Table'!$A66,";",""))=0),'Special Help Table'!$A66,AND(LEN('Special Help Table'!$A66)-LEN(SUBSTITUTE('Special Help Table'!$A66,",","")=1),LEN('Special Help Table'!$A66)-LEN(SUBSTITUTE('Special Help Table'!$A66," ","")=20),LEN('Special Help Table'!$A66)-LEN(SUBSTITUTE('Special Help Table'!$A66," and",""))=0,LEN('Special Help Table'!$A66)-LEN(SUBSTITUTE('Special Help Table'!$A66,",","",FIND(" ",'Special Help Table'!$A66)+1))=0),RIGHT('Special Help Table'!$A66,LEN('Special Help Table'!$A66)-FIND(", ",'Special Help Table'!$A66))&amp;" "&amp;LEFT('Special Help Table'!$A66,FIND(",",'Special Help Table'!$A66)-1),AND(LEN('Special Help Table'!$A66)-LEN(SUBSTITUTE('Special Help Table'!$A66,"editor",""))=6,LEN('Special Help Table'!$A66)-LEN(SUBSTITUTE('Special Help Table'!$A66,"(",""))=0,LEN('Special Help Table'!$A66)-LEN(SUBSTITUTE('Special Help Table'!$A66,"and",""))=3,LEN('Special Help Table'!$A66)-LEN(SUBSTITUTE('Special Help Table'!$A66,",",""))=1,LEN('Special Help Table'!$A66)-LEN(SUBSTITUTE('Special Help Table'!$A66," ",""))=3),'Special Help Table'!$A66)</f>
        <v xml:space="preserve"> E.M. Bounds</v>
      </c>
      <c r="C66" s="4" t="s">
        <v>171</v>
      </c>
      <c r="D66" s="2"/>
      <c r="E66" s="2" t="s">
        <v>16</v>
      </c>
      <c r="F66" s="2" t="s">
        <v>36</v>
      </c>
      <c r="G66" s="2"/>
      <c r="H66" s="2"/>
      <c r="I66" s="2"/>
      <c r="J66" s="2" t="s">
        <v>172</v>
      </c>
      <c r="K66" s="3">
        <v>41560</v>
      </c>
      <c r="L66" s="2"/>
      <c r="M66" s="2"/>
      <c r="N66" s="2" t="s">
        <v>18</v>
      </c>
    </row>
    <row r="67" spans="1:14" ht="15.75" customHeight="1" x14ac:dyDescent="0.35">
      <c r="A67" s="2" t="s">
        <v>170</v>
      </c>
      <c r="B67" s="2" t="str" cm="1">
        <f t="array" ref="B67">_xlfn.IFS(AND(LEN('Special Help Table'!$A67)-(LEN(SUBSTITUTE('Special Help Table'!$A67,";","")))=0,LEN('Special Help Table'!$A67)-LEN(SUBSTITUTE('Special Help Table'!$A67,",",""))=1,LEN('Special Help Table'!$A67)-LEN(SUBSTITUTE('Special Help Table'!$A67,"and ",""))=0),MID('Special Help Table'!$A67&amp;" "&amp;'Special Help Table'!$A67,SEARCH(", ",'Special Help Table'!$A67)+1,LEN('Special Help Table'!$A67)),AND(LEN('Special Help Table'!$A67)-(LEN(SUBSTITUTE('Special Help Table'!$A67,";","")))=1,LEN('Special Help Table'!$A67)-LEN(SUBSTITUTE('Special Help Table'!$A67,"and ",""))=0),MID('Special Help Table'!$A67,SEARCH(",",'Special Help Table'!$A67)+1,(SEARCH(";",'Special Help Table'!$A67)-1)-SEARCH(",",'Special Help Table'!$A67))&amp;" "&amp;LEFT('Special Help Table'!$A67,SEARCH(",",'Special Help Table'!$A67)-1)&amp;";"&amp;RIGHT('Special Help Table'!$A67,LEN('Special Help Table'!$A67)-SEARCH(",",'Special Help Table'!$A67,SEARCH(";",'Special Help Table'!$A67)))&amp;" "&amp;MID('Special Help Table'!$A67,SEARCH("; ",'Special Help Table'!$A67)+2,SEARCH(",",'Special Help Table'!$A67,SEARCH(";",'Special Help Table'!$A67))-SEARCH(";",'Special Help Table'!$A67)-2),AND(LEN('Special Help Table'!$A67)-LEN(SUBSTITUTE('Special Help Table'!$A67,"and ",""))=0,LEN('Special Help Table'!$A67)-LEN(SUBSTITUTE('Special Help Table'!$A67,";",""))=0),'Special Help Table'!$A67,AND(LEN('Special Help Table'!$A67)-LEN(SUBSTITUTE('Special Help Table'!$A67,",","")=1),LEN('Special Help Table'!$A67)-LEN(SUBSTITUTE('Special Help Table'!$A67," ","")=20),LEN('Special Help Table'!$A67)-LEN(SUBSTITUTE('Special Help Table'!$A67," and",""))=0,LEN('Special Help Table'!$A67)-LEN(SUBSTITUTE('Special Help Table'!$A67,",","",FIND(" ",'Special Help Table'!$A67)+1))=0),RIGHT('Special Help Table'!$A67,LEN('Special Help Table'!$A67)-FIND(", ",'Special Help Table'!$A67))&amp;" "&amp;LEFT('Special Help Table'!$A67,FIND(",",'Special Help Table'!$A67)-1),AND(LEN('Special Help Table'!$A67)-LEN(SUBSTITUTE('Special Help Table'!$A67,"editor",""))=6,LEN('Special Help Table'!$A67)-LEN(SUBSTITUTE('Special Help Table'!$A67,"(",""))=0,LEN('Special Help Table'!$A67)-LEN(SUBSTITUTE('Special Help Table'!$A67,"and",""))=3,LEN('Special Help Table'!$A67)-LEN(SUBSTITUTE('Special Help Table'!$A67,",",""))=1,LEN('Special Help Table'!$A67)-LEN(SUBSTITUTE('Special Help Table'!$A67," ",""))=3),'Special Help Table'!$A67)</f>
        <v xml:space="preserve"> E.M. Bounds</v>
      </c>
      <c r="C67" s="4" t="s">
        <v>173</v>
      </c>
      <c r="D67" s="2"/>
      <c r="E67" s="2" t="s">
        <v>16</v>
      </c>
      <c r="F67" s="2" t="s">
        <v>36</v>
      </c>
      <c r="G67" s="2"/>
      <c r="H67" s="2"/>
      <c r="I67" s="2"/>
      <c r="J67" s="2" t="s">
        <v>172</v>
      </c>
      <c r="K67" s="3">
        <v>41560</v>
      </c>
      <c r="L67" s="2"/>
      <c r="M67" s="2"/>
      <c r="N67" s="2" t="s">
        <v>18</v>
      </c>
    </row>
    <row r="68" spans="1:14" ht="15.75" customHeight="1" x14ac:dyDescent="0.35">
      <c r="A68" s="2" t="s">
        <v>174</v>
      </c>
      <c r="B68" s="2" t="str" cm="1">
        <f t="array" ref="B68">_xlfn.IFS(AND(LEN('Special Help Table'!$A68)-(LEN(SUBSTITUTE('Special Help Table'!$A68,";","")))=0,LEN('Special Help Table'!$A68)-LEN(SUBSTITUTE('Special Help Table'!$A68,",",""))=1,LEN('Special Help Table'!$A68)-LEN(SUBSTITUTE('Special Help Table'!$A68,"and ",""))=0),MID('Special Help Table'!$A68&amp;" "&amp;'Special Help Table'!$A68,SEARCH(", ",'Special Help Table'!$A68)+1,LEN('Special Help Table'!$A68)),AND(LEN('Special Help Table'!$A68)-(LEN(SUBSTITUTE('Special Help Table'!$A68,";","")))=1,LEN('Special Help Table'!$A68)-LEN(SUBSTITUTE('Special Help Table'!$A68,"and ",""))=0),MID('Special Help Table'!$A68,SEARCH(",",'Special Help Table'!$A68)+1,(SEARCH(";",'Special Help Table'!$A68)-1)-SEARCH(",",'Special Help Table'!$A68))&amp;" "&amp;LEFT('Special Help Table'!$A68,SEARCH(",",'Special Help Table'!$A68)-1)&amp;";"&amp;RIGHT('Special Help Table'!$A68,LEN('Special Help Table'!$A68)-SEARCH(",",'Special Help Table'!$A68,SEARCH(";",'Special Help Table'!$A68)))&amp;" "&amp;MID('Special Help Table'!$A68,SEARCH("; ",'Special Help Table'!$A68)+2,SEARCH(",",'Special Help Table'!$A68,SEARCH(";",'Special Help Table'!$A68))-SEARCH(";",'Special Help Table'!$A68)-2),AND(LEN('Special Help Table'!$A68)-LEN(SUBSTITUTE('Special Help Table'!$A68,"and ",""))=0,LEN('Special Help Table'!$A68)-LEN(SUBSTITUTE('Special Help Table'!$A68,";",""))=0),'Special Help Table'!$A68,AND(LEN('Special Help Table'!$A68)-LEN(SUBSTITUTE('Special Help Table'!$A68,",","")=1),LEN('Special Help Table'!$A68)-LEN(SUBSTITUTE('Special Help Table'!$A68," ","")=20),LEN('Special Help Table'!$A68)-LEN(SUBSTITUTE('Special Help Table'!$A68," and",""))=0,LEN('Special Help Table'!$A68)-LEN(SUBSTITUTE('Special Help Table'!$A68,",","",FIND(" ",'Special Help Table'!$A68)+1))=0),RIGHT('Special Help Table'!$A68,LEN('Special Help Table'!$A68)-FIND(", ",'Special Help Table'!$A68))&amp;" "&amp;LEFT('Special Help Table'!$A68,FIND(",",'Special Help Table'!$A68)-1),AND(LEN('Special Help Table'!$A68)-LEN(SUBSTITUTE('Special Help Table'!$A68,"editor",""))=6,LEN('Special Help Table'!$A68)-LEN(SUBSTITUTE('Special Help Table'!$A68,"(",""))=0,LEN('Special Help Table'!$A68)-LEN(SUBSTITUTE('Special Help Table'!$A68,"and",""))=3,LEN('Special Help Table'!$A68)-LEN(SUBSTITUTE('Special Help Table'!$A68,",",""))=1,LEN('Special Help Table'!$A68)-LEN(SUBSTITUTE('Special Help Table'!$A68," ",""))=3),'Special Help Table'!$A68)</f>
        <v xml:space="preserve"> Deb Brammer</v>
      </c>
      <c r="C68" s="4" t="s">
        <v>175</v>
      </c>
      <c r="D68" s="2"/>
      <c r="E68" s="2" t="s">
        <v>16</v>
      </c>
      <c r="F68" s="2" t="s">
        <v>72</v>
      </c>
      <c r="G68" s="2"/>
      <c r="H68" s="2"/>
      <c r="I68" s="2"/>
      <c r="J68" s="2"/>
      <c r="K68" s="3">
        <v>41164</v>
      </c>
      <c r="L68" s="2"/>
      <c r="M68" s="2"/>
      <c r="N68" s="2" t="s">
        <v>18</v>
      </c>
    </row>
    <row r="69" spans="1:14" ht="15.75" customHeight="1" x14ac:dyDescent="0.35">
      <c r="A69" s="2" t="s">
        <v>176</v>
      </c>
      <c r="B69" s="2" t="str" cm="1">
        <f t="array" ref="B69">_xlfn.IFS(AND(LEN('Special Help Table'!$A69)-(LEN(SUBSTITUTE('Special Help Table'!$A69,";","")))=0,LEN('Special Help Table'!$A69)-LEN(SUBSTITUTE('Special Help Table'!$A69,",",""))=1,LEN('Special Help Table'!$A69)-LEN(SUBSTITUTE('Special Help Table'!$A69,"and ",""))=0),MID('Special Help Table'!$A69&amp;" "&amp;'Special Help Table'!$A69,SEARCH(", ",'Special Help Table'!$A69)+1,LEN('Special Help Table'!$A69)),AND(LEN('Special Help Table'!$A69)-(LEN(SUBSTITUTE('Special Help Table'!$A69,";","")))=1,LEN('Special Help Table'!$A69)-LEN(SUBSTITUTE('Special Help Table'!$A69,"and ",""))=0),MID('Special Help Table'!$A69,SEARCH(",",'Special Help Table'!$A69)+1,(SEARCH(";",'Special Help Table'!$A69)-1)-SEARCH(",",'Special Help Table'!$A69))&amp;" "&amp;LEFT('Special Help Table'!$A69,SEARCH(",",'Special Help Table'!$A69)-1)&amp;";"&amp;RIGHT('Special Help Table'!$A69,LEN('Special Help Table'!$A69)-SEARCH(",",'Special Help Table'!$A69,SEARCH(";",'Special Help Table'!$A69)))&amp;" "&amp;MID('Special Help Table'!$A69,SEARCH("; ",'Special Help Table'!$A69)+2,SEARCH(",",'Special Help Table'!$A69,SEARCH(";",'Special Help Table'!$A69))-SEARCH(";",'Special Help Table'!$A69)-2),AND(LEN('Special Help Table'!$A69)-LEN(SUBSTITUTE('Special Help Table'!$A69,"and ",""))=0,LEN('Special Help Table'!$A69)-LEN(SUBSTITUTE('Special Help Table'!$A69,";",""))=0),'Special Help Table'!$A69,AND(LEN('Special Help Table'!$A69)-LEN(SUBSTITUTE('Special Help Table'!$A69,",","")=1),LEN('Special Help Table'!$A69)-LEN(SUBSTITUTE('Special Help Table'!$A69," ","")=20),LEN('Special Help Table'!$A69)-LEN(SUBSTITUTE('Special Help Table'!$A69," and",""))=0,LEN('Special Help Table'!$A69)-LEN(SUBSTITUTE('Special Help Table'!$A69,",","",FIND(" ",'Special Help Table'!$A69)+1))=0),RIGHT('Special Help Table'!$A69,LEN('Special Help Table'!$A69)-FIND(", ",'Special Help Table'!$A69))&amp;" "&amp;LEFT('Special Help Table'!$A69,FIND(",",'Special Help Table'!$A69)-1),AND(LEN('Special Help Table'!$A69)-LEN(SUBSTITUTE('Special Help Table'!$A69,"editor",""))=6,LEN('Special Help Table'!$A69)-LEN(SUBSTITUTE('Special Help Table'!$A69,"(",""))=0,LEN('Special Help Table'!$A69)-LEN(SUBSTITUTE('Special Help Table'!$A69,"and",""))=3,LEN('Special Help Table'!$A69)-LEN(SUBSTITUTE('Special Help Table'!$A69,",",""))=1,LEN('Special Help Table'!$A69)-LEN(SUBSTITUTE('Special Help Table'!$A69," ",""))=3),'Special Help Table'!$A69)</f>
        <v xml:space="preserve"> Gerald Bray</v>
      </c>
      <c r="C69" s="4" t="s">
        <v>177</v>
      </c>
      <c r="D69" s="2"/>
      <c r="E69" s="2" t="s">
        <v>16</v>
      </c>
      <c r="F69" s="2" t="s">
        <v>28</v>
      </c>
      <c r="G69" s="2"/>
      <c r="H69" s="2"/>
      <c r="I69" s="2"/>
      <c r="J69" s="2" t="s">
        <v>77</v>
      </c>
      <c r="K69" s="3">
        <v>44688</v>
      </c>
      <c r="L69" s="2"/>
      <c r="M69" s="2"/>
      <c r="N69" s="2" t="s">
        <v>18</v>
      </c>
    </row>
    <row r="70" spans="1:14" ht="15.75" customHeight="1" x14ac:dyDescent="0.35">
      <c r="A70" s="2" t="s">
        <v>178</v>
      </c>
      <c r="B70" s="2" t="str" cm="1">
        <f t="array" ref="B70">_xlfn.IFS(AND(LEN('Special Help Table'!$A70)-(LEN(SUBSTITUTE('Special Help Table'!$A70,";","")))=0,LEN('Special Help Table'!$A70)-LEN(SUBSTITUTE('Special Help Table'!$A70,",",""))=1,LEN('Special Help Table'!$A70)-LEN(SUBSTITUTE('Special Help Table'!$A70,"and ",""))=0),MID('Special Help Table'!$A70&amp;" "&amp;'Special Help Table'!$A70,SEARCH(", ",'Special Help Table'!$A70)+1,LEN('Special Help Table'!$A70)),AND(LEN('Special Help Table'!$A70)-(LEN(SUBSTITUTE('Special Help Table'!$A70,";","")))=1,LEN('Special Help Table'!$A70)-LEN(SUBSTITUTE('Special Help Table'!$A70,"and ",""))=0),MID('Special Help Table'!$A70,SEARCH(",",'Special Help Table'!$A70)+1,(SEARCH(";",'Special Help Table'!$A70)-1)-SEARCH(",",'Special Help Table'!$A70))&amp;" "&amp;LEFT('Special Help Table'!$A70,SEARCH(",",'Special Help Table'!$A70)-1)&amp;";"&amp;RIGHT('Special Help Table'!$A70,LEN('Special Help Table'!$A70)-SEARCH(",",'Special Help Table'!$A70,SEARCH(";",'Special Help Table'!$A70)))&amp;" "&amp;MID('Special Help Table'!$A70,SEARCH("; ",'Special Help Table'!$A70)+2,SEARCH(",",'Special Help Table'!$A70,SEARCH(";",'Special Help Table'!$A70))-SEARCH(";",'Special Help Table'!$A70)-2),AND(LEN('Special Help Table'!$A70)-LEN(SUBSTITUTE('Special Help Table'!$A70,"and ",""))=0,LEN('Special Help Table'!$A70)-LEN(SUBSTITUTE('Special Help Table'!$A70,";",""))=0),'Special Help Table'!$A70,AND(LEN('Special Help Table'!$A70)-LEN(SUBSTITUTE('Special Help Table'!$A70,",","")=1),LEN('Special Help Table'!$A70)-LEN(SUBSTITUTE('Special Help Table'!$A70," ","")=20),LEN('Special Help Table'!$A70)-LEN(SUBSTITUTE('Special Help Table'!$A70," and",""))=0,LEN('Special Help Table'!$A70)-LEN(SUBSTITUTE('Special Help Table'!$A70,",","",FIND(" ",'Special Help Table'!$A70)+1))=0),RIGHT('Special Help Table'!$A70,LEN('Special Help Table'!$A70)-FIND(", ",'Special Help Table'!$A70))&amp;" "&amp;LEFT('Special Help Table'!$A70,FIND(",",'Special Help Table'!$A70)-1),AND(LEN('Special Help Table'!$A70)-LEN(SUBSTITUTE('Special Help Table'!$A70,"editor",""))=6,LEN('Special Help Table'!$A70)-LEN(SUBSTITUTE('Special Help Table'!$A70,"(",""))=0,LEN('Special Help Table'!$A70)-LEN(SUBSTITUTE('Special Help Table'!$A70,"and",""))=3,LEN('Special Help Table'!$A70)-LEN(SUBSTITUTE('Special Help Table'!$A70,",",""))=1,LEN('Special Help Table'!$A70)-LEN(SUBSTITUTE('Special Help Table'!$A70," ",""))=3),'Special Help Table'!$A70)</f>
        <v xml:space="preserve"> Jerry Bridges</v>
      </c>
      <c r="C70" s="2" t="s">
        <v>179</v>
      </c>
      <c r="D70" s="2"/>
      <c r="E70" s="2" t="s">
        <v>16</v>
      </c>
      <c r="F70" s="2" t="s">
        <v>17</v>
      </c>
      <c r="G70" s="2"/>
      <c r="H70" s="2"/>
      <c r="I70" s="2"/>
      <c r="J70" s="2"/>
      <c r="K70" s="3">
        <v>40034</v>
      </c>
      <c r="L70" s="2"/>
      <c r="M70" s="2"/>
      <c r="N70" s="2" t="s">
        <v>18</v>
      </c>
    </row>
    <row r="71" spans="1:14" ht="15.75" customHeight="1" x14ac:dyDescent="0.35">
      <c r="A71" s="2" t="s">
        <v>178</v>
      </c>
      <c r="B71" s="2" t="str" cm="1">
        <f t="array" ref="B71">_xlfn.IFS(AND(LEN('Special Help Table'!$A71)-(LEN(SUBSTITUTE('Special Help Table'!$A71,";","")))=0,LEN('Special Help Table'!$A71)-LEN(SUBSTITUTE('Special Help Table'!$A71,",",""))=1,LEN('Special Help Table'!$A71)-LEN(SUBSTITUTE('Special Help Table'!$A71,"and ",""))=0),MID('Special Help Table'!$A71&amp;" "&amp;'Special Help Table'!$A71,SEARCH(", ",'Special Help Table'!$A71)+1,LEN('Special Help Table'!$A71)),AND(LEN('Special Help Table'!$A71)-(LEN(SUBSTITUTE('Special Help Table'!$A71,";","")))=1,LEN('Special Help Table'!$A71)-LEN(SUBSTITUTE('Special Help Table'!$A71,"and ",""))=0),MID('Special Help Table'!$A71,SEARCH(",",'Special Help Table'!$A71)+1,(SEARCH(";",'Special Help Table'!$A71)-1)-SEARCH(",",'Special Help Table'!$A71))&amp;" "&amp;LEFT('Special Help Table'!$A71,SEARCH(",",'Special Help Table'!$A71)-1)&amp;";"&amp;RIGHT('Special Help Table'!$A71,LEN('Special Help Table'!$A71)-SEARCH(",",'Special Help Table'!$A71,SEARCH(";",'Special Help Table'!$A71)))&amp;" "&amp;MID('Special Help Table'!$A71,SEARCH("; ",'Special Help Table'!$A71)+2,SEARCH(",",'Special Help Table'!$A71,SEARCH(";",'Special Help Table'!$A71))-SEARCH(";",'Special Help Table'!$A71)-2),AND(LEN('Special Help Table'!$A71)-LEN(SUBSTITUTE('Special Help Table'!$A71,"and ",""))=0,LEN('Special Help Table'!$A71)-LEN(SUBSTITUTE('Special Help Table'!$A71,";",""))=0),'Special Help Table'!$A71,AND(LEN('Special Help Table'!$A71)-LEN(SUBSTITUTE('Special Help Table'!$A71,",","")=1),LEN('Special Help Table'!$A71)-LEN(SUBSTITUTE('Special Help Table'!$A71," ","")=20),LEN('Special Help Table'!$A71)-LEN(SUBSTITUTE('Special Help Table'!$A71," and",""))=0,LEN('Special Help Table'!$A71)-LEN(SUBSTITUTE('Special Help Table'!$A71,",","",FIND(" ",'Special Help Table'!$A71)+1))=0),RIGHT('Special Help Table'!$A71,LEN('Special Help Table'!$A71)-FIND(", ",'Special Help Table'!$A71))&amp;" "&amp;LEFT('Special Help Table'!$A71,FIND(",",'Special Help Table'!$A71)-1),AND(LEN('Special Help Table'!$A71)-LEN(SUBSTITUTE('Special Help Table'!$A71,"editor",""))=6,LEN('Special Help Table'!$A71)-LEN(SUBSTITUTE('Special Help Table'!$A71,"(",""))=0,LEN('Special Help Table'!$A71)-LEN(SUBSTITUTE('Special Help Table'!$A71,"and",""))=3,LEN('Special Help Table'!$A71)-LEN(SUBSTITUTE('Special Help Table'!$A71,",",""))=1,LEN('Special Help Table'!$A71)-LEN(SUBSTITUTE('Special Help Table'!$A71," ",""))=3),'Special Help Table'!$A71)</f>
        <v xml:space="preserve"> Jerry Bridges</v>
      </c>
      <c r="C71" s="2" t="s">
        <v>180</v>
      </c>
      <c r="D71" s="2"/>
      <c r="E71" s="2" t="s">
        <v>16</v>
      </c>
      <c r="F71" s="2" t="s">
        <v>36</v>
      </c>
      <c r="G71" s="2"/>
      <c r="H71" s="2"/>
      <c r="I71" s="2"/>
      <c r="J71" s="2"/>
      <c r="K71" s="3">
        <v>41072</v>
      </c>
      <c r="L71" s="2"/>
      <c r="M71" s="2"/>
      <c r="N71" s="2" t="s">
        <v>18</v>
      </c>
    </row>
    <row r="72" spans="1:14" ht="15.75" customHeight="1" x14ac:dyDescent="0.35">
      <c r="A72" s="2" t="s">
        <v>178</v>
      </c>
      <c r="B72" s="2" t="str" cm="1">
        <f t="array" ref="B72">_xlfn.IFS(AND(LEN('Special Help Table'!$A72)-(LEN(SUBSTITUTE('Special Help Table'!$A72,";","")))=0,LEN('Special Help Table'!$A72)-LEN(SUBSTITUTE('Special Help Table'!$A72,",",""))=1,LEN('Special Help Table'!$A72)-LEN(SUBSTITUTE('Special Help Table'!$A72,"and ",""))=0),MID('Special Help Table'!$A72&amp;" "&amp;'Special Help Table'!$A72,SEARCH(", ",'Special Help Table'!$A72)+1,LEN('Special Help Table'!$A72)),AND(LEN('Special Help Table'!$A72)-(LEN(SUBSTITUTE('Special Help Table'!$A72,";","")))=1,LEN('Special Help Table'!$A72)-LEN(SUBSTITUTE('Special Help Table'!$A72,"and ",""))=0),MID('Special Help Table'!$A72,SEARCH(",",'Special Help Table'!$A72)+1,(SEARCH(";",'Special Help Table'!$A72)-1)-SEARCH(",",'Special Help Table'!$A72))&amp;" "&amp;LEFT('Special Help Table'!$A72,SEARCH(",",'Special Help Table'!$A72)-1)&amp;";"&amp;RIGHT('Special Help Table'!$A72,LEN('Special Help Table'!$A72)-SEARCH(",",'Special Help Table'!$A72,SEARCH(";",'Special Help Table'!$A72)))&amp;" "&amp;MID('Special Help Table'!$A72,SEARCH("; ",'Special Help Table'!$A72)+2,SEARCH(",",'Special Help Table'!$A72,SEARCH(";",'Special Help Table'!$A72))-SEARCH(";",'Special Help Table'!$A72)-2),AND(LEN('Special Help Table'!$A72)-LEN(SUBSTITUTE('Special Help Table'!$A72,"and ",""))=0,LEN('Special Help Table'!$A72)-LEN(SUBSTITUTE('Special Help Table'!$A72,";",""))=0),'Special Help Table'!$A72,AND(LEN('Special Help Table'!$A72)-LEN(SUBSTITUTE('Special Help Table'!$A72,",","")=1),LEN('Special Help Table'!$A72)-LEN(SUBSTITUTE('Special Help Table'!$A72," ","")=20),LEN('Special Help Table'!$A72)-LEN(SUBSTITUTE('Special Help Table'!$A72," and",""))=0,LEN('Special Help Table'!$A72)-LEN(SUBSTITUTE('Special Help Table'!$A72,",","",FIND(" ",'Special Help Table'!$A72)+1))=0),RIGHT('Special Help Table'!$A72,LEN('Special Help Table'!$A72)-FIND(", ",'Special Help Table'!$A72))&amp;" "&amp;LEFT('Special Help Table'!$A72,FIND(",",'Special Help Table'!$A72)-1),AND(LEN('Special Help Table'!$A72)-LEN(SUBSTITUTE('Special Help Table'!$A72,"editor",""))=6,LEN('Special Help Table'!$A72)-LEN(SUBSTITUTE('Special Help Table'!$A72,"(",""))=0,LEN('Special Help Table'!$A72)-LEN(SUBSTITUTE('Special Help Table'!$A72,"and",""))=3,LEN('Special Help Table'!$A72)-LEN(SUBSTITUTE('Special Help Table'!$A72,",",""))=1,LEN('Special Help Table'!$A72)-LEN(SUBSTITUTE('Special Help Table'!$A72," ",""))=3),'Special Help Table'!$A72)</f>
        <v xml:space="preserve"> Jerry Bridges</v>
      </c>
      <c r="C72" s="2" t="s">
        <v>181</v>
      </c>
      <c r="D72" s="2"/>
      <c r="E72" s="2" t="s">
        <v>16</v>
      </c>
      <c r="F72" s="2" t="s">
        <v>36</v>
      </c>
      <c r="G72" s="2"/>
      <c r="H72" s="2"/>
      <c r="I72" s="2"/>
      <c r="J72" s="2"/>
      <c r="K72" s="3">
        <v>40951</v>
      </c>
      <c r="L72" s="2"/>
      <c r="M72" s="2"/>
      <c r="N72" s="2" t="s">
        <v>18</v>
      </c>
    </row>
    <row r="73" spans="1:14" ht="15.75" customHeight="1" x14ac:dyDescent="0.35">
      <c r="A73" s="2" t="s">
        <v>178</v>
      </c>
      <c r="B73" s="2" t="str" cm="1">
        <f t="array" ref="B73">_xlfn.IFS(AND(LEN('Special Help Table'!$A73)-(LEN(SUBSTITUTE('Special Help Table'!$A73,";","")))=0,LEN('Special Help Table'!$A73)-LEN(SUBSTITUTE('Special Help Table'!$A73,",",""))=1,LEN('Special Help Table'!$A73)-LEN(SUBSTITUTE('Special Help Table'!$A73,"and ",""))=0),MID('Special Help Table'!$A73&amp;" "&amp;'Special Help Table'!$A73,SEARCH(", ",'Special Help Table'!$A73)+1,LEN('Special Help Table'!$A73)),AND(LEN('Special Help Table'!$A73)-(LEN(SUBSTITUTE('Special Help Table'!$A73,";","")))=1,LEN('Special Help Table'!$A73)-LEN(SUBSTITUTE('Special Help Table'!$A73,"and ",""))=0),MID('Special Help Table'!$A73,SEARCH(",",'Special Help Table'!$A73)+1,(SEARCH(";",'Special Help Table'!$A73)-1)-SEARCH(",",'Special Help Table'!$A73))&amp;" "&amp;LEFT('Special Help Table'!$A73,SEARCH(",",'Special Help Table'!$A73)-1)&amp;";"&amp;RIGHT('Special Help Table'!$A73,LEN('Special Help Table'!$A73)-SEARCH(",",'Special Help Table'!$A73,SEARCH(";",'Special Help Table'!$A73)))&amp;" "&amp;MID('Special Help Table'!$A73,SEARCH("; ",'Special Help Table'!$A73)+2,SEARCH(",",'Special Help Table'!$A73,SEARCH(";",'Special Help Table'!$A73))-SEARCH(";",'Special Help Table'!$A73)-2),AND(LEN('Special Help Table'!$A73)-LEN(SUBSTITUTE('Special Help Table'!$A73,"and ",""))=0,LEN('Special Help Table'!$A73)-LEN(SUBSTITUTE('Special Help Table'!$A73,";",""))=0),'Special Help Table'!$A73,AND(LEN('Special Help Table'!$A73)-LEN(SUBSTITUTE('Special Help Table'!$A73,",","")=1),LEN('Special Help Table'!$A73)-LEN(SUBSTITUTE('Special Help Table'!$A73," ","")=20),LEN('Special Help Table'!$A73)-LEN(SUBSTITUTE('Special Help Table'!$A73," and",""))=0,LEN('Special Help Table'!$A73)-LEN(SUBSTITUTE('Special Help Table'!$A73,",","",FIND(" ",'Special Help Table'!$A73)+1))=0),RIGHT('Special Help Table'!$A73,LEN('Special Help Table'!$A73)-FIND(", ",'Special Help Table'!$A73))&amp;" "&amp;LEFT('Special Help Table'!$A73,FIND(",",'Special Help Table'!$A73)-1),AND(LEN('Special Help Table'!$A73)-LEN(SUBSTITUTE('Special Help Table'!$A73,"editor",""))=6,LEN('Special Help Table'!$A73)-LEN(SUBSTITUTE('Special Help Table'!$A73,"(",""))=0,LEN('Special Help Table'!$A73)-LEN(SUBSTITUTE('Special Help Table'!$A73,"and",""))=3,LEN('Special Help Table'!$A73)-LEN(SUBSTITUTE('Special Help Table'!$A73,",",""))=1,LEN('Special Help Table'!$A73)-LEN(SUBSTITUTE('Special Help Table'!$A73," ",""))=3),'Special Help Table'!$A73)</f>
        <v xml:space="preserve"> Jerry Bridges</v>
      </c>
      <c r="C73" s="2" t="s">
        <v>182</v>
      </c>
      <c r="D73" s="2"/>
      <c r="E73" s="2" t="s">
        <v>16</v>
      </c>
      <c r="F73" s="2" t="s">
        <v>36</v>
      </c>
      <c r="G73" s="2"/>
      <c r="H73" s="2"/>
      <c r="I73" s="2"/>
      <c r="J73" s="2"/>
      <c r="K73" s="3">
        <v>40034</v>
      </c>
      <c r="L73" s="2"/>
      <c r="M73" s="2"/>
      <c r="N73" s="2" t="s">
        <v>18</v>
      </c>
    </row>
    <row r="74" spans="1:14" ht="15.75" customHeight="1" x14ac:dyDescent="0.35">
      <c r="A74" s="2" t="s">
        <v>178</v>
      </c>
      <c r="B74" s="2" t="str" cm="1">
        <f t="array" ref="B74">_xlfn.IFS(AND(LEN('Special Help Table'!$A74)-(LEN(SUBSTITUTE('Special Help Table'!$A74,";","")))=0,LEN('Special Help Table'!$A74)-LEN(SUBSTITUTE('Special Help Table'!$A74,",",""))=1,LEN('Special Help Table'!$A74)-LEN(SUBSTITUTE('Special Help Table'!$A74,"and ",""))=0),MID('Special Help Table'!$A74&amp;" "&amp;'Special Help Table'!$A74,SEARCH(", ",'Special Help Table'!$A74)+1,LEN('Special Help Table'!$A74)),AND(LEN('Special Help Table'!$A74)-(LEN(SUBSTITUTE('Special Help Table'!$A74,";","")))=1,LEN('Special Help Table'!$A74)-LEN(SUBSTITUTE('Special Help Table'!$A74,"and ",""))=0),MID('Special Help Table'!$A74,SEARCH(",",'Special Help Table'!$A74)+1,(SEARCH(";",'Special Help Table'!$A74)-1)-SEARCH(",",'Special Help Table'!$A74))&amp;" "&amp;LEFT('Special Help Table'!$A74,SEARCH(",",'Special Help Table'!$A74)-1)&amp;";"&amp;RIGHT('Special Help Table'!$A74,LEN('Special Help Table'!$A74)-SEARCH(",",'Special Help Table'!$A74,SEARCH(";",'Special Help Table'!$A74)))&amp;" "&amp;MID('Special Help Table'!$A74,SEARCH("; ",'Special Help Table'!$A74)+2,SEARCH(",",'Special Help Table'!$A74,SEARCH(";",'Special Help Table'!$A74))-SEARCH(";",'Special Help Table'!$A74)-2),AND(LEN('Special Help Table'!$A74)-LEN(SUBSTITUTE('Special Help Table'!$A74,"and ",""))=0,LEN('Special Help Table'!$A74)-LEN(SUBSTITUTE('Special Help Table'!$A74,";",""))=0),'Special Help Table'!$A74,AND(LEN('Special Help Table'!$A74)-LEN(SUBSTITUTE('Special Help Table'!$A74,",","")=1),LEN('Special Help Table'!$A74)-LEN(SUBSTITUTE('Special Help Table'!$A74," ","")=20),LEN('Special Help Table'!$A74)-LEN(SUBSTITUTE('Special Help Table'!$A74," and",""))=0,LEN('Special Help Table'!$A74)-LEN(SUBSTITUTE('Special Help Table'!$A74,",","",FIND(" ",'Special Help Table'!$A74)+1))=0),RIGHT('Special Help Table'!$A74,LEN('Special Help Table'!$A74)-FIND(", ",'Special Help Table'!$A74))&amp;" "&amp;LEFT('Special Help Table'!$A74,FIND(",",'Special Help Table'!$A74)-1),AND(LEN('Special Help Table'!$A74)-LEN(SUBSTITUTE('Special Help Table'!$A74,"editor",""))=6,LEN('Special Help Table'!$A74)-LEN(SUBSTITUTE('Special Help Table'!$A74,"(",""))=0,LEN('Special Help Table'!$A74)-LEN(SUBSTITUTE('Special Help Table'!$A74,"and",""))=3,LEN('Special Help Table'!$A74)-LEN(SUBSTITUTE('Special Help Table'!$A74,",",""))=1,LEN('Special Help Table'!$A74)-LEN(SUBSTITUTE('Special Help Table'!$A74," ",""))=3),'Special Help Table'!$A74)</f>
        <v xml:space="preserve"> Jerry Bridges</v>
      </c>
      <c r="C74" s="2" t="s">
        <v>183</v>
      </c>
      <c r="D74" s="2"/>
      <c r="E74" s="2" t="s">
        <v>16</v>
      </c>
      <c r="F74" s="2" t="s">
        <v>36</v>
      </c>
      <c r="G74" s="2"/>
      <c r="H74" s="2"/>
      <c r="I74" s="2"/>
      <c r="J74" s="2"/>
      <c r="K74" s="3">
        <v>40247</v>
      </c>
      <c r="L74" s="2"/>
      <c r="M74" s="2"/>
      <c r="N74" s="2" t="s">
        <v>18</v>
      </c>
    </row>
    <row r="75" spans="1:14" ht="15.75" customHeight="1" x14ac:dyDescent="0.35">
      <c r="A75" s="2" t="s">
        <v>178</v>
      </c>
      <c r="B75" s="2" t="str" cm="1">
        <f t="array" ref="B75">_xlfn.IFS(AND(LEN('Special Help Table'!$A75)-(LEN(SUBSTITUTE('Special Help Table'!$A75,";","")))=0,LEN('Special Help Table'!$A75)-LEN(SUBSTITUTE('Special Help Table'!$A75,",",""))=1,LEN('Special Help Table'!$A75)-LEN(SUBSTITUTE('Special Help Table'!$A75,"and ",""))=0),MID('Special Help Table'!$A75&amp;" "&amp;'Special Help Table'!$A75,SEARCH(", ",'Special Help Table'!$A75)+1,LEN('Special Help Table'!$A75)),AND(LEN('Special Help Table'!$A75)-(LEN(SUBSTITUTE('Special Help Table'!$A75,";","")))=1,LEN('Special Help Table'!$A75)-LEN(SUBSTITUTE('Special Help Table'!$A75,"and ",""))=0),MID('Special Help Table'!$A75,SEARCH(",",'Special Help Table'!$A75)+1,(SEARCH(";",'Special Help Table'!$A75)-1)-SEARCH(",",'Special Help Table'!$A75))&amp;" "&amp;LEFT('Special Help Table'!$A75,SEARCH(",",'Special Help Table'!$A75)-1)&amp;";"&amp;RIGHT('Special Help Table'!$A75,LEN('Special Help Table'!$A75)-SEARCH(",",'Special Help Table'!$A75,SEARCH(";",'Special Help Table'!$A75)))&amp;" "&amp;MID('Special Help Table'!$A75,SEARCH("; ",'Special Help Table'!$A75)+2,SEARCH(",",'Special Help Table'!$A75,SEARCH(";",'Special Help Table'!$A75))-SEARCH(";",'Special Help Table'!$A75)-2),AND(LEN('Special Help Table'!$A75)-LEN(SUBSTITUTE('Special Help Table'!$A75,"and ",""))=0,LEN('Special Help Table'!$A75)-LEN(SUBSTITUTE('Special Help Table'!$A75,";",""))=0),'Special Help Table'!$A75,AND(LEN('Special Help Table'!$A75)-LEN(SUBSTITUTE('Special Help Table'!$A75,",","")=1),LEN('Special Help Table'!$A75)-LEN(SUBSTITUTE('Special Help Table'!$A75," ","")=20),LEN('Special Help Table'!$A75)-LEN(SUBSTITUTE('Special Help Table'!$A75," and",""))=0,LEN('Special Help Table'!$A75)-LEN(SUBSTITUTE('Special Help Table'!$A75,",","",FIND(" ",'Special Help Table'!$A75)+1))=0),RIGHT('Special Help Table'!$A75,LEN('Special Help Table'!$A75)-FIND(", ",'Special Help Table'!$A75))&amp;" "&amp;LEFT('Special Help Table'!$A75,FIND(",",'Special Help Table'!$A75)-1),AND(LEN('Special Help Table'!$A75)-LEN(SUBSTITUTE('Special Help Table'!$A75,"editor",""))=6,LEN('Special Help Table'!$A75)-LEN(SUBSTITUTE('Special Help Table'!$A75,"(",""))=0,LEN('Special Help Table'!$A75)-LEN(SUBSTITUTE('Special Help Table'!$A75,"and",""))=3,LEN('Special Help Table'!$A75)-LEN(SUBSTITUTE('Special Help Table'!$A75,",",""))=1,LEN('Special Help Table'!$A75)-LEN(SUBSTITUTE('Special Help Table'!$A75," ",""))=3),'Special Help Table'!$A75)</f>
        <v xml:space="preserve"> Jerry Bridges</v>
      </c>
      <c r="C75" s="4" t="s">
        <v>184</v>
      </c>
      <c r="D75" s="2"/>
      <c r="E75" s="2" t="s">
        <v>16</v>
      </c>
      <c r="F75" s="2" t="s">
        <v>36</v>
      </c>
      <c r="G75" s="2"/>
      <c r="H75" s="2"/>
      <c r="I75" s="2"/>
      <c r="J75" s="2" t="s">
        <v>97</v>
      </c>
      <c r="K75" s="3">
        <v>40247</v>
      </c>
      <c r="L75" s="2"/>
      <c r="M75" s="2"/>
      <c r="N75" s="2" t="s">
        <v>18</v>
      </c>
    </row>
    <row r="76" spans="1:14" ht="15.75" customHeight="1" x14ac:dyDescent="0.35">
      <c r="A76" s="2" t="s">
        <v>178</v>
      </c>
      <c r="B76" s="2" t="str" cm="1">
        <f t="array" ref="B76">_xlfn.IFS(AND(LEN('Special Help Table'!$A76)-(LEN(SUBSTITUTE('Special Help Table'!$A76,";","")))=0,LEN('Special Help Table'!$A76)-LEN(SUBSTITUTE('Special Help Table'!$A76,",",""))=1,LEN('Special Help Table'!$A76)-LEN(SUBSTITUTE('Special Help Table'!$A76,"and ",""))=0),MID('Special Help Table'!$A76&amp;" "&amp;'Special Help Table'!$A76,SEARCH(", ",'Special Help Table'!$A76)+1,LEN('Special Help Table'!$A76)),AND(LEN('Special Help Table'!$A76)-(LEN(SUBSTITUTE('Special Help Table'!$A76,";","")))=1,LEN('Special Help Table'!$A76)-LEN(SUBSTITUTE('Special Help Table'!$A76,"and ",""))=0),MID('Special Help Table'!$A76,SEARCH(",",'Special Help Table'!$A76)+1,(SEARCH(";",'Special Help Table'!$A76)-1)-SEARCH(",",'Special Help Table'!$A76))&amp;" "&amp;LEFT('Special Help Table'!$A76,SEARCH(",",'Special Help Table'!$A76)-1)&amp;";"&amp;RIGHT('Special Help Table'!$A76,LEN('Special Help Table'!$A76)-SEARCH(",",'Special Help Table'!$A76,SEARCH(";",'Special Help Table'!$A76)))&amp;" "&amp;MID('Special Help Table'!$A76,SEARCH("; ",'Special Help Table'!$A76)+2,SEARCH(",",'Special Help Table'!$A76,SEARCH(";",'Special Help Table'!$A76))-SEARCH(";",'Special Help Table'!$A76)-2),AND(LEN('Special Help Table'!$A76)-LEN(SUBSTITUTE('Special Help Table'!$A76,"and ",""))=0,LEN('Special Help Table'!$A76)-LEN(SUBSTITUTE('Special Help Table'!$A76,";",""))=0),'Special Help Table'!$A76,AND(LEN('Special Help Table'!$A76)-LEN(SUBSTITUTE('Special Help Table'!$A76,",","")=1),LEN('Special Help Table'!$A76)-LEN(SUBSTITUTE('Special Help Table'!$A76," ","")=20),LEN('Special Help Table'!$A76)-LEN(SUBSTITUTE('Special Help Table'!$A76," and",""))=0,LEN('Special Help Table'!$A76)-LEN(SUBSTITUTE('Special Help Table'!$A76,",","",FIND(" ",'Special Help Table'!$A76)+1))=0),RIGHT('Special Help Table'!$A76,LEN('Special Help Table'!$A76)-FIND(", ",'Special Help Table'!$A76))&amp;" "&amp;LEFT('Special Help Table'!$A76,FIND(",",'Special Help Table'!$A76)-1),AND(LEN('Special Help Table'!$A76)-LEN(SUBSTITUTE('Special Help Table'!$A76,"editor",""))=6,LEN('Special Help Table'!$A76)-LEN(SUBSTITUTE('Special Help Table'!$A76,"(",""))=0,LEN('Special Help Table'!$A76)-LEN(SUBSTITUTE('Special Help Table'!$A76,"and",""))=3,LEN('Special Help Table'!$A76)-LEN(SUBSTITUTE('Special Help Table'!$A76,",",""))=1,LEN('Special Help Table'!$A76)-LEN(SUBSTITUTE('Special Help Table'!$A76," ",""))=3),'Special Help Table'!$A76)</f>
        <v xml:space="preserve"> Jerry Bridges</v>
      </c>
      <c r="C76" s="4" t="s">
        <v>185</v>
      </c>
      <c r="D76" s="2"/>
      <c r="E76" s="2" t="s">
        <v>16</v>
      </c>
      <c r="F76" s="2" t="s">
        <v>36</v>
      </c>
      <c r="G76" s="2"/>
      <c r="H76" s="2"/>
      <c r="I76" s="2"/>
      <c r="J76" s="2"/>
      <c r="K76" s="3">
        <v>40188</v>
      </c>
      <c r="L76" s="2"/>
      <c r="M76" s="2"/>
      <c r="N76" s="2" t="s">
        <v>18</v>
      </c>
    </row>
    <row r="77" spans="1:14" ht="15.75" customHeight="1" x14ac:dyDescent="0.35">
      <c r="A77" s="2" t="s">
        <v>178</v>
      </c>
      <c r="B77" s="2" t="str" cm="1">
        <f t="array" ref="B77">_xlfn.IFS(AND(LEN('Special Help Table'!$A77)-(LEN(SUBSTITUTE('Special Help Table'!$A77,";","")))=0,LEN('Special Help Table'!$A77)-LEN(SUBSTITUTE('Special Help Table'!$A77,",",""))=1,LEN('Special Help Table'!$A77)-LEN(SUBSTITUTE('Special Help Table'!$A77,"and ",""))=0),MID('Special Help Table'!$A77&amp;" "&amp;'Special Help Table'!$A77,SEARCH(", ",'Special Help Table'!$A77)+1,LEN('Special Help Table'!$A77)),AND(LEN('Special Help Table'!$A77)-(LEN(SUBSTITUTE('Special Help Table'!$A77,";","")))=1,LEN('Special Help Table'!$A77)-LEN(SUBSTITUTE('Special Help Table'!$A77,"and ",""))=0),MID('Special Help Table'!$A77,SEARCH(",",'Special Help Table'!$A77)+1,(SEARCH(";",'Special Help Table'!$A77)-1)-SEARCH(",",'Special Help Table'!$A77))&amp;" "&amp;LEFT('Special Help Table'!$A77,SEARCH(",",'Special Help Table'!$A77)-1)&amp;";"&amp;RIGHT('Special Help Table'!$A77,LEN('Special Help Table'!$A77)-SEARCH(",",'Special Help Table'!$A77,SEARCH(";",'Special Help Table'!$A77)))&amp;" "&amp;MID('Special Help Table'!$A77,SEARCH("; ",'Special Help Table'!$A77)+2,SEARCH(",",'Special Help Table'!$A77,SEARCH(";",'Special Help Table'!$A77))-SEARCH(";",'Special Help Table'!$A77)-2),AND(LEN('Special Help Table'!$A77)-LEN(SUBSTITUTE('Special Help Table'!$A77,"and ",""))=0,LEN('Special Help Table'!$A77)-LEN(SUBSTITUTE('Special Help Table'!$A77,";",""))=0),'Special Help Table'!$A77,AND(LEN('Special Help Table'!$A77)-LEN(SUBSTITUTE('Special Help Table'!$A77,",","")=1),LEN('Special Help Table'!$A77)-LEN(SUBSTITUTE('Special Help Table'!$A77," ","")=20),LEN('Special Help Table'!$A77)-LEN(SUBSTITUTE('Special Help Table'!$A77," and",""))=0,LEN('Special Help Table'!$A77)-LEN(SUBSTITUTE('Special Help Table'!$A77,",","",FIND(" ",'Special Help Table'!$A77)+1))=0),RIGHT('Special Help Table'!$A77,LEN('Special Help Table'!$A77)-FIND(", ",'Special Help Table'!$A77))&amp;" "&amp;LEFT('Special Help Table'!$A77,FIND(",",'Special Help Table'!$A77)-1),AND(LEN('Special Help Table'!$A77)-LEN(SUBSTITUTE('Special Help Table'!$A77,"editor",""))=6,LEN('Special Help Table'!$A77)-LEN(SUBSTITUTE('Special Help Table'!$A77,"(",""))=0,LEN('Special Help Table'!$A77)-LEN(SUBSTITUTE('Special Help Table'!$A77,"and",""))=3,LEN('Special Help Table'!$A77)-LEN(SUBSTITUTE('Special Help Table'!$A77,",",""))=1,LEN('Special Help Table'!$A77)-LEN(SUBSTITUTE('Special Help Table'!$A77," ",""))=3),'Special Help Table'!$A77)</f>
        <v xml:space="preserve"> Jerry Bridges</v>
      </c>
      <c r="C77" s="4" t="s">
        <v>186</v>
      </c>
      <c r="D77" s="2"/>
      <c r="E77" s="2" t="s">
        <v>16</v>
      </c>
      <c r="F77" s="2" t="s">
        <v>36</v>
      </c>
      <c r="G77" s="2"/>
      <c r="H77" s="2"/>
      <c r="I77" s="2"/>
      <c r="J77" s="2"/>
      <c r="K77" s="3">
        <v>41530</v>
      </c>
      <c r="L77" s="2"/>
      <c r="M77" s="2"/>
      <c r="N77" s="2" t="s">
        <v>18</v>
      </c>
    </row>
    <row r="78" spans="1:14" ht="15.75" customHeight="1" x14ac:dyDescent="0.35">
      <c r="A78" s="2" t="s">
        <v>178</v>
      </c>
      <c r="B78" s="2" t="str" cm="1">
        <f t="array" ref="B78">_xlfn.IFS(AND(LEN('Special Help Table'!$A78)-(LEN(SUBSTITUTE('Special Help Table'!$A78,";","")))=0,LEN('Special Help Table'!$A78)-LEN(SUBSTITUTE('Special Help Table'!$A78,",",""))=1,LEN('Special Help Table'!$A78)-LEN(SUBSTITUTE('Special Help Table'!$A78,"and ",""))=0),MID('Special Help Table'!$A78&amp;" "&amp;'Special Help Table'!$A78,SEARCH(", ",'Special Help Table'!$A78)+1,LEN('Special Help Table'!$A78)),AND(LEN('Special Help Table'!$A78)-(LEN(SUBSTITUTE('Special Help Table'!$A78,";","")))=1,LEN('Special Help Table'!$A78)-LEN(SUBSTITUTE('Special Help Table'!$A78,"and ",""))=0),MID('Special Help Table'!$A78,SEARCH(",",'Special Help Table'!$A78)+1,(SEARCH(";",'Special Help Table'!$A78)-1)-SEARCH(",",'Special Help Table'!$A78))&amp;" "&amp;LEFT('Special Help Table'!$A78,SEARCH(",",'Special Help Table'!$A78)-1)&amp;";"&amp;RIGHT('Special Help Table'!$A78,LEN('Special Help Table'!$A78)-SEARCH(",",'Special Help Table'!$A78,SEARCH(";",'Special Help Table'!$A78)))&amp;" "&amp;MID('Special Help Table'!$A78,SEARCH("; ",'Special Help Table'!$A78)+2,SEARCH(",",'Special Help Table'!$A78,SEARCH(";",'Special Help Table'!$A78))-SEARCH(";",'Special Help Table'!$A78)-2),AND(LEN('Special Help Table'!$A78)-LEN(SUBSTITUTE('Special Help Table'!$A78,"and ",""))=0,LEN('Special Help Table'!$A78)-LEN(SUBSTITUTE('Special Help Table'!$A78,";",""))=0),'Special Help Table'!$A78,AND(LEN('Special Help Table'!$A78)-LEN(SUBSTITUTE('Special Help Table'!$A78,",","")=1),LEN('Special Help Table'!$A78)-LEN(SUBSTITUTE('Special Help Table'!$A78," ","")=20),LEN('Special Help Table'!$A78)-LEN(SUBSTITUTE('Special Help Table'!$A78," and",""))=0,LEN('Special Help Table'!$A78)-LEN(SUBSTITUTE('Special Help Table'!$A78,",","",FIND(" ",'Special Help Table'!$A78)+1))=0),RIGHT('Special Help Table'!$A78,LEN('Special Help Table'!$A78)-FIND(", ",'Special Help Table'!$A78))&amp;" "&amp;LEFT('Special Help Table'!$A78,FIND(",",'Special Help Table'!$A78)-1),AND(LEN('Special Help Table'!$A78)-LEN(SUBSTITUTE('Special Help Table'!$A78,"editor",""))=6,LEN('Special Help Table'!$A78)-LEN(SUBSTITUTE('Special Help Table'!$A78,"(",""))=0,LEN('Special Help Table'!$A78)-LEN(SUBSTITUTE('Special Help Table'!$A78,"and",""))=3,LEN('Special Help Table'!$A78)-LEN(SUBSTITUTE('Special Help Table'!$A78,",",""))=1,LEN('Special Help Table'!$A78)-LEN(SUBSTITUTE('Special Help Table'!$A78," ",""))=3),'Special Help Table'!$A78)</f>
        <v xml:space="preserve"> Jerry Bridges</v>
      </c>
      <c r="C78" s="4" t="s">
        <v>187</v>
      </c>
      <c r="D78" s="2"/>
      <c r="E78" s="2" t="s">
        <v>16</v>
      </c>
      <c r="F78" s="2" t="s">
        <v>17</v>
      </c>
      <c r="G78" s="2"/>
      <c r="H78" s="2"/>
      <c r="I78" s="2"/>
      <c r="J78" s="2" t="s">
        <v>188</v>
      </c>
      <c r="K78" s="3">
        <v>40827</v>
      </c>
      <c r="L78" s="2"/>
      <c r="M78" s="2"/>
      <c r="N78" s="2" t="s">
        <v>18</v>
      </c>
    </row>
    <row r="79" spans="1:14" ht="15.75" customHeight="1" x14ac:dyDescent="0.35">
      <c r="A79" s="2" t="s">
        <v>189</v>
      </c>
      <c r="B79" s="2" t="str" cm="1">
        <f t="array" ref="B79">_xlfn.IFS(AND(LEN('Special Help Table'!$A79)-(LEN(SUBSTITUTE('Special Help Table'!$A79,";","")))=0,LEN('Special Help Table'!$A79)-LEN(SUBSTITUTE('Special Help Table'!$A79,",",""))=1,LEN('Special Help Table'!$A79)-LEN(SUBSTITUTE('Special Help Table'!$A79,"and ",""))=0),MID('Special Help Table'!$A79&amp;" "&amp;'Special Help Table'!$A79,SEARCH(", ",'Special Help Table'!$A79)+1,LEN('Special Help Table'!$A79)),AND(LEN('Special Help Table'!$A79)-(LEN(SUBSTITUTE('Special Help Table'!$A79,";","")))=1,LEN('Special Help Table'!$A79)-LEN(SUBSTITUTE('Special Help Table'!$A79,"and ",""))=0),MID('Special Help Table'!$A79,SEARCH(",",'Special Help Table'!$A79)+1,(SEARCH(";",'Special Help Table'!$A79)-1)-SEARCH(",",'Special Help Table'!$A79))&amp;" "&amp;LEFT('Special Help Table'!$A79,SEARCH(",",'Special Help Table'!$A79)-1)&amp;";"&amp;RIGHT('Special Help Table'!$A79,LEN('Special Help Table'!$A79)-SEARCH(",",'Special Help Table'!$A79,SEARCH(";",'Special Help Table'!$A79)))&amp;" "&amp;MID('Special Help Table'!$A79,SEARCH("; ",'Special Help Table'!$A79)+2,SEARCH(",",'Special Help Table'!$A79,SEARCH(";",'Special Help Table'!$A79))-SEARCH(";",'Special Help Table'!$A79)-2),AND(LEN('Special Help Table'!$A79)-LEN(SUBSTITUTE('Special Help Table'!$A79,"and ",""))=0,LEN('Special Help Table'!$A79)-LEN(SUBSTITUTE('Special Help Table'!$A79,";",""))=0),'Special Help Table'!$A79,AND(LEN('Special Help Table'!$A79)-LEN(SUBSTITUTE('Special Help Table'!$A79,",","")=1),LEN('Special Help Table'!$A79)-LEN(SUBSTITUTE('Special Help Table'!$A79," ","")=20),LEN('Special Help Table'!$A79)-LEN(SUBSTITUTE('Special Help Table'!$A79," and",""))=0,LEN('Special Help Table'!$A79)-LEN(SUBSTITUTE('Special Help Table'!$A79,",","",FIND(" ",'Special Help Table'!$A79)+1))=0),RIGHT('Special Help Table'!$A79,LEN('Special Help Table'!$A79)-FIND(", ",'Special Help Table'!$A79))&amp;" "&amp;LEFT('Special Help Table'!$A79,FIND(",",'Special Help Table'!$A79)-1),AND(LEN('Special Help Table'!$A79)-LEN(SUBSTITUTE('Special Help Table'!$A79,"editor",""))=6,LEN('Special Help Table'!$A79)-LEN(SUBSTITUTE('Special Help Table'!$A79,"(",""))=0,LEN('Special Help Table'!$A79)-LEN(SUBSTITUTE('Special Help Table'!$A79,"and",""))=3,LEN('Special Help Table'!$A79)-LEN(SUBSTITUTE('Special Help Table'!$A79,",",""))=1,LEN('Special Help Table'!$A79)-LEN(SUBSTITUTE('Special Help Table'!$A79," ",""))=3),'Special Help Table'!$A79)</f>
        <v xml:space="preserve"> Thomas Brooks</v>
      </c>
      <c r="C79" s="4" t="s">
        <v>190</v>
      </c>
      <c r="D79" s="2"/>
      <c r="E79" s="2" t="s">
        <v>16</v>
      </c>
      <c r="F79" s="2" t="s">
        <v>28</v>
      </c>
      <c r="G79" s="2" t="s">
        <v>36</v>
      </c>
      <c r="H79" s="2" t="s">
        <v>82</v>
      </c>
      <c r="I79" s="2"/>
      <c r="J79" s="2"/>
      <c r="K79" s="3"/>
      <c r="L79" s="2"/>
      <c r="M79" s="2"/>
      <c r="N79" s="2" t="s">
        <v>18</v>
      </c>
    </row>
    <row r="80" spans="1:14" ht="15.75" customHeight="1" x14ac:dyDescent="0.35">
      <c r="A80" s="2" t="s">
        <v>191</v>
      </c>
      <c r="B80" s="2" t="str" cm="1">
        <f t="array" ref="B80">_xlfn.IFS(AND(LEN('Special Help Table'!$A80)-(LEN(SUBSTITUTE('Special Help Table'!$A80,";","")))=0,LEN('Special Help Table'!$A80)-LEN(SUBSTITUTE('Special Help Table'!$A80,",",""))=1,LEN('Special Help Table'!$A80)-LEN(SUBSTITUTE('Special Help Table'!$A80,"and ",""))=0),MID('Special Help Table'!$A80&amp;" "&amp;'Special Help Table'!$A80,SEARCH(", ",'Special Help Table'!$A80)+1,LEN('Special Help Table'!$A80)),AND(LEN('Special Help Table'!$A80)-(LEN(SUBSTITUTE('Special Help Table'!$A80,";","")))=1,LEN('Special Help Table'!$A80)-LEN(SUBSTITUTE('Special Help Table'!$A80,"and ",""))=0),MID('Special Help Table'!$A80,SEARCH(",",'Special Help Table'!$A80)+1,(SEARCH(";",'Special Help Table'!$A80)-1)-SEARCH(",",'Special Help Table'!$A80))&amp;" "&amp;LEFT('Special Help Table'!$A80,SEARCH(",",'Special Help Table'!$A80)-1)&amp;";"&amp;RIGHT('Special Help Table'!$A80,LEN('Special Help Table'!$A80)-SEARCH(",",'Special Help Table'!$A80,SEARCH(";",'Special Help Table'!$A80)))&amp;" "&amp;MID('Special Help Table'!$A80,SEARCH("; ",'Special Help Table'!$A80)+2,SEARCH(",",'Special Help Table'!$A80,SEARCH(";",'Special Help Table'!$A80))-SEARCH(";",'Special Help Table'!$A80)-2),AND(LEN('Special Help Table'!$A80)-LEN(SUBSTITUTE('Special Help Table'!$A80,"and ",""))=0,LEN('Special Help Table'!$A80)-LEN(SUBSTITUTE('Special Help Table'!$A80,";",""))=0),'Special Help Table'!$A80,AND(LEN('Special Help Table'!$A80)-LEN(SUBSTITUTE('Special Help Table'!$A80,",","")=1),LEN('Special Help Table'!$A80)-LEN(SUBSTITUTE('Special Help Table'!$A80," ","")=20),LEN('Special Help Table'!$A80)-LEN(SUBSTITUTE('Special Help Table'!$A80," and",""))=0,LEN('Special Help Table'!$A80)-LEN(SUBSTITUTE('Special Help Table'!$A80,",","",FIND(" ",'Special Help Table'!$A80)+1))=0),RIGHT('Special Help Table'!$A80,LEN('Special Help Table'!$A80)-FIND(", ",'Special Help Table'!$A80))&amp;" "&amp;LEFT('Special Help Table'!$A80,FIND(",",'Special Help Table'!$A80)-1),AND(LEN('Special Help Table'!$A80)-LEN(SUBSTITUTE('Special Help Table'!$A80,"editor",""))=6,LEN('Special Help Table'!$A80)-LEN(SUBSTITUTE('Special Help Table'!$A80,"(",""))=0,LEN('Special Help Table'!$A80)-LEN(SUBSTITUTE('Special Help Table'!$A80,"and",""))=3,LEN('Special Help Table'!$A80)-LEN(SUBSTITUTE('Special Help Table'!$A80,",",""))=1,LEN('Special Help Table'!$A80)-LEN(SUBSTITUTE('Special Help Table'!$A80," ",""))=3),'Special Help Table'!$A80)</f>
        <v xml:space="preserve"> Craig R Brown</v>
      </c>
      <c r="C80" s="4" t="s">
        <v>192</v>
      </c>
      <c r="D80" s="2"/>
      <c r="E80" s="2" t="s">
        <v>16</v>
      </c>
      <c r="F80" s="2" t="s">
        <v>28</v>
      </c>
      <c r="G80" s="2"/>
      <c r="H80" s="2"/>
      <c r="I80" s="2"/>
      <c r="J80" s="2" t="s">
        <v>193</v>
      </c>
      <c r="K80" s="3">
        <v>40034</v>
      </c>
      <c r="L80" s="2"/>
      <c r="M80" s="2"/>
      <c r="N80" s="2" t="s">
        <v>18</v>
      </c>
    </row>
    <row r="81" spans="1:14" ht="15.75" customHeight="1" x14ac:dyDescent="0.35">
      <c r="A81" s="2" t="s">
        <v>194</v>
      </c>
      <c r="B81" s="2" t="e" cm="1">
        <f t="array" ref="B81">_xlfn.IFS(AND(LEN('Special Help Table'!$A81)-(LEN(SUBSTITUTE('Special Help Table'!$A81,";","")))=0,LEN('Special Help Table'!$A81)-LEN(SUBSTITUTE('Special Help Table'!$A81,",",""))=1,LEN('Special Help Table'!$A81)-LEN(SUBSTITUTE('Special Help Table'!$A81,"and ",""))=0),MID('Special Help Table'!$A81&amp;" "&amp;'Special Help Table'!$A81,SEARCH(", ",'Special Help Table'!$A81)+1,LEN('Special Help Table'!$A81)),AND(LEN('Special Help Table'!$A81)-(LEN(SUBSTITUTE('Special Help Table'!$A81,";","")))=1,LEN('Special Help Table'!$A81)-LEN(SUBSTITUTE('Special Help Table'!$A81,"and ",""))=0),MID('Special Help Table'!$A81,SEARCH(",",'Special Help Table'!$A81)+1,(SEARCH(";",'Special Help Table'!$A81)-1)-SEARCH(",",'Special Help Table'!$A81))&amp;" "&amp;LEFT('Special Help Table'!$A81,SEARCH(",",'Special Help Table'!$A81)-1)&amp;";"&amp;RIGHT('Special Help Table'!$A81,LEN('Special Help Table'!$A81)-SEARCH(",",'Special Help Table'!$A81,SEARCH(";",'Special Help Table'!$A81)))&amp;" "&amp;MID('Special Help Table'!$A81,SEARCH("; ",'Special Help Table'!$A81)+2,SEARCH(",",'Special Help Table'!$A81,SEARCH(";",'Special Help Table'!$A81))-SEARCH(";",'Special Help Table'!$A81)-2),AND(LEN('Special Help Table'!$A81)-LEN(SUBSTITUTE('Special Help Table'!$A81,"and ",""))=0,LEN('Special Help Table'!$A81)-LEN(SUBSTITUTE('Special Help Table'!$A81,";",""))=0),'Special Help Table'!$A81,AND(LEN('Special Help Table'!$A81)-LEN(SUBSTITUTE('Special Help Table'!$A81,",","")=1),LEN('Special Help Table'!$A81)-LEN(SUBSTITUTE('Special Help Table'!$A81," ","")=20),LEN('Special Help Table'!$A81)-LEN(SUBSTITUTE('Special Help Table'!$A81," and",""))=0,LEN('Special Help Table'!$A81)-LEN(SUBSTITUTE('Special Help Table'!$A81,",","",FIND(" ",'Special Help Table'!$A81)+1))=0),RIGHT('Special Help Table'!$A81,LEN('Special Help Table'!$A81)-FIND(", ",'Special Help Table'!$A81))&amp;" "&amp;LEFT('Special Help Table'!$A81,FIND(",",'Special Help Table'!$A81)-1),AND(LEN('Special Help Table'!$A81)-LEN(SUBSTITUTE('Special Help Table'!$A81,"editor",""))=6,LEN('Special Help Table'!$A81)-LEN(SUBSTITUTE('Special Help Table'!$A81,"(",""))=0,LEN('Special Help Table'!$A81)-LEN(SUBSTITUTE('Special Help Table'!$A81,"and",""))=3,LEN('Special Help Table'!$A81)-LEN(SUBSTITUTE('Special Help Table'!$A81,",",""))=1,LEN('Special Help Table'!$A81)-LEN(SUBSTITUTE('Special Help Table'!$A81," ",""))=3),'Special Help Table'!$A81)</f>
        <v>#N/A</v>
      </c>
      <c r="C81" s="4" t="s">
        <v>195</v>
      </c>
      <c r="D81" s="2" t="s">
        <v>196</v>
      </c>
      <c r="E81" s="2" t="s">
        <v>16</v>
      </c>
      <c r="F81" s="2" t="s">
        <v>72</v>
      </c>
      <c r="G81" s="2"/>
      <c r="H81" s="2"/>
      <c r="I81" s="2"/>
      <c r="J81" s="2" t="s">
        <v>197</v>
      </c>
      <c r="K81" s="3">
        <v>44534</v>
      </c>
      <c r="L81" s="2"/>
      <c r="M81" s="2"/>
      <c r="N81" s="2" t="s">
        <v>18</v>
      </c>
    </row>
    <row r="82" spans="1:14" ht="15.75" customHeight="1" x14ac:dyDescent="0.35">
      <c r="A82" s="2" t="s">
        <v>194</v>
      </c>
      <c r="B82" s="2" t="e" cm="1">
        <f t="array" ref="B82">_xlfn.IFS(AND(LEN('Special Help Table'!$A82)-(LEN(SUBSTITUTE('Special Help Table'!$A82,";","")))=0,LEN('Special Help Table'!$A82)-LEN(SUBSTITUTE('Special Help Table'!$A82,",",""))=1,LEN('Special Help Table'!$A82)-LEN(SUBSTITUTE('Special Help Table'!$A82,"and ",""))=0),MID('Special Help Table'!$A82&amp;" "&amp;'Special Help Table'!$A82,SEARCH(", ",'Special Help Table'!$A82)+1,LEN('Special Help Table'!$A82)),AND(LEN('Special Help Table'!$A82)-(LEN(SUBSTITUTE('Special Help Table'!$A82,";","")))=1,LEN('Special Help Table'!$A82)-LEN(SUBSTITUTE('Special Help Table'!$A82,"and ",""))=0),MID('Special Help Table'!$A82,SEARCH(",",'Special Help Table'!$A82)+1,(SEARCH(";",'Special Help Table'!$A82)-1)-SEARCH(",",'Special Help Table'!$A82))&amp;" "&amp;LEFT('Special Help Table'!$A82,SEARCH(",",'Special Help Table'!$A82)-1)&amp;";"&amp;RIGHT('Special Help Table'!$A82,LEN('Special Help Table'!$A82)-SEARCH(",",'Special Help Table'!$A82,SEARCH(";",'Special Help Table'!$A82)))&amp;" "&amp;MID('Special Help Table'!$A82,SEARCH("; ",'Special Help Table'!$A82)+2,SEARCH(",",'Special Help Table'!$A82,SEARCH(";",'Special Help Table'!$A82))-SEARCH(";",'Special Help Table'!$A82)-2),AND(LEN('Special Help Table'!$A82)-LEN(SUBSTITUTE('Special Help Table'!$A82,"and ",""))=0,LEN('Special Help Table'!$A82)-LEN(SUBSTITUTE('Special Help Table'!$A82,";",""))=0),'Special Help Table'!$A82,AND(LEN('Special Help Table'!$A82)-LEN(SUBSTITUTE('Special Help Table'!$A82,",","")=1),LEN('Special Help Table'!$A82)-LEN(SUBSTITUTE('Special Help Table'!$A82," ","")=20),LEN('Special Help Table'!$A82)-LEN(SUBSTITUTE('Special Help Table'!$A82," and",""))=0,LEN('Special Help Table'!$A82)-LEN(SUBSTITUTE('Special Help Table'!$A82,",","",FIND(" ",'Special Help Table'!$A82)+1))=0),RIGHT('Special Help Table'!$A82,LEN('Special Help Table'!$A82)-FIND(", ",'Special Help Table'!$A82))&amp;" "&amp;LEFT('Special Help Table'!$A82,FIND(",",'Special Help Table'!$A82)-1),AND(LEN('Special Help Table'!$A82)-LEN(SUBSTITUTE('Special Help Table'!$A82,"editor",""))=6,LEN('Special Help Table'!$A82)-LEN(SUBSTITUTE('Special Help Table'!$A82,"(",""))=0,LEN('Special Help Table'!$A82)-LEN(SUBSTITUTE('Special Help Table'!$A82,"and",""))=3,LEN('Special Help Table'!$A82)-LEN(SUBSTITUTE('Special Help Table'!$A82,",",""))=1,LEN('Special Help Table'!$A82)-LEN(SUBSTITUTE('Special Help Table'!$A82," ",""))=3),'Special Help Table'!$A82)</f>
        <v>#N/A</v>
      </c>
      <c r="C82" s="4" t="s">
        <v>198</v>
      </c>
      <c r="D82" s="2" t="s">
        <v>196</v>
      </c>
      <c r="E82" s="2" t="s">
        <v>16</v>
      </c>
      <c r="F82" s="2" t="s">
        <v>72</v>
      </c>
      <c r="G82" s="2"/>
      <c r="H82" s="2"/>
      <c r="I82" s="2"/>
      <c r="J82" s="2" t="s">
        <v>197</v>
      </c>
      <c r="K82" s="3">
        <v>44534</v>
      </c>
      <c r="L82" s="2"/>
      <c r="M82" s="2"/>
      <c r="N82" s="2" t="s">
        <v>18</v>
      </c>
    </row>
    <row r="83" spans="1:14" ht="15.75" customHeight="1" x14ac:dyDescent="0.35">
      <c r="A83" s="2" t="s">
        <v>194</v>
      </c>
      <c r="B83" s="2" t="e" cm="1">
        <f t="array" ref="B83">_xlfn.IFS(AND(LEN('Special Help Table'!$A83)-(LEN(SUBSTITUTE('Special Help Table'!$A83,";","")))=0,LEN('Special Help Table'!$A83)-LEN(SUBSTITUTE('Special Help Table'!$A83,",",""))=1,LEN('Special Help Table'!$A83)-LEN(SUBSTITUTE('Special Help Table'!$A83,"and ",""))=0),MID('Special Help Table'!$A83&amp;" "&amp;'Special Help Table'!$A83,SEARCH(", ",'Special Help Table'!$A83)+1,LEN('Special Help Table'!$A83)),AND(LEN('Special Help Table'!$A83)-(LEN(SUBSTITUTE('Special Help Table'!$A83,";","")))=1,LEN('Special Help Table'!$A83)-LEN(SUBSTITUTE('Special Help Table'!$A83,"and ",""))=0),MID('Special Help Table'!$A83,SEARCH(",",'Special Help Table'!$A83)+1,(SEARCH(";",'Special Help Table'!$A83)-1)-SEARCH(",",'Special Help Table'!$A83))&amp;" "&amp;LEFT('Special Help Table'!$A83,SEARCH(",",'Special Help Table'!$A83)-1)&amp;";"&amp;RIGHT('Special Help Table'!$A83,LEN('Special Help Table'!$A83)-SEARCH(",",'Special Help Table'!$A83,SEARCH(";",'Special Help Table'!$A83)))&amp;" "&amp;MID('Special Help Table'!$A83,SEARCH("; ",'Special Help Table'!$A83)+2,SEARCH(",",'Special Help Table'!$A83,SEARCH(";",'Special Help Table'!$A83))-SEARCH(";",'Special Help Table'!$A83)-2),AND(LEN('Special Help Table'!$A83)-LEN(SUBSTITUTE('Special Help Table'!$A83,"and ",""))=0,LEN('Special Help Table'!$A83)-LEN(SUBSTITUTE('Special Help Table'!$A83,";",""))=0),'Special Help Table'!$A83,AND(LEN('Special Help Table'!$A83)-LEN(SUBSTITUTE('Special Help Table'!$A83,",","")=1),LEN('Special Help Table'!$A83)-LEN(SUBSTITUTE('Special Help Table'!$A83," ","")=20),LEN('Special Help Table'!$A83)-LEN(SUBSTITUTE('Special Help Table'!$A83," and",""))=0,LEN('Special Help Table'!$A83)-LEN(SUBSTITUTE('Special Help Table'!$A83,",","",FIND(" ",'Special Help Table'!$A83)+1))=0),RIGHT('Special Help Table'!$A83,LEN('Special Help Table'!$A83)-FIND(", ",'Special Help Table'!$A83))&amp;" "&amp;LEFT('Special Help Table'!$A83,FIND(",",'Special Help Table'!$A83)-1),AND(LEN('Special Help Table'!$A83)-LEN(SUBSTITUTE('Special Help Table'!$A83,"editor",""))=6,LEN('Special Help Table'!$A83)-LEN(SUBSTITUTE('Special Help Table'!$A83,"(",""))=0,LEN('Special Help Table'!$A83)-LEN(SUBSTITUTE('Special Help Table'!$A83,"and",""))=3,LEN('Special Help Table'!$A83)-LEN(SUBSTITUTE('Special Help Table'!$A83,",",""))=1,LEN('Special Help Table'!$A83)-LEN(SUBSTITUTE('Special Help Table'!$A83," ",""))=3),'Special Help Table'!$A83)</f>
        <v>#N/A</v>
      </c>
      <c r="C83" s="4" t="s">
        <v>199</v>
      </c>
      <c r="D83" s="2" t="s">
        <v>200</v>
      </c>
      <c r="E83" s="2" t="s">
        <v>16</v>
      </c>
      <c r="F83" s="2" t="s">
        <v>72</v>
      </c>
      <c r="G83" s="2"/>
      <c r="H83" s="2"/>
      <c r="I83" s="2"/>
      <c r="J83" s="2" t="s">
        <v>197</v>
      </c>
      <c r="K83" s="3">
        <v>44534</v>
      </c>
      <c r="L83" s="2"/>
      <c r="M83" s="2"/>
      <c r="N83" s="2" t="s">
        <v>18</v>
      </c>
    </row>
    <row r="84" spans="1:14" ht="15.75" customHeight="1" x14ac:dyDescent="0.35">
      <c r="A84" s="2" t="s">
        <v>194</v>
      </c>
      <c r="B84" s="2" t="e" cm="1">
        <f t="array" ref="B84">_xlfn.IFS(AND(LEN('Special Help Table'!$A84)-(LEN(SUBSTITUTE('Special Help Table'!$A84,";","")))=0,LEN('Special Help Table'!$A84)-LEN(SUBSTITUTE('Special Help Table'!$A84,",",""))=1,LEN('Special Help Table'!$A84)-LEN(SUBSTITUTE('Special Help Table'!$A84,"and ",""))=0),MID('Special Help Table'!$A84&amp;" "&amp;'Special Help Table'!$A84,SEARCH(", ",'Special Help Table'!$A84)+1,LEN('Special Help Table'!$A84)),AND(LEN('Special Help Table'!$A84)-(LEN(SUBSTITUTE('Special Help Table'!$A84,";","")))=1,LEN('Special Help Table'!$A84)-LEN(SUBSTITUTE('Special Help Table'!$A84,"and ",""))=0),MID('Special Help Table'!$A84,SEARCH(",",'Special Help Table'!$A84)+1,(SEARCH(";",'Special Help Table'!$A84)-1)-SEARCH(",",'Special Help Table'!$A84))&amp;" "&amp;LEFT('Special Help Table'!$A84,SEARCH(",",'Special Help Table'!$A84)-1)&amp;";"&amp;RIGHT('Special Help Table'!$A84,LEN('Special Help Table'!$A84)-SEARCH(",",'Special Help Table'!$A84,SEARCH(";",'Special Help Table'!$A84)))&amp;" "&amp;MID('Special Help Table'!$A84,SEARCH("; ",'Special Help Table'!$A84)+2,SEARCH(",",'Special Help Table'!$A84,SEARCH(";",'Special Help Table'!$A84))-SEARCH(";",'Special Help Table'!$A84)-2),AND(LEN('Special Help Table'!$A84)-LEN(SUBSTITUTE('Special Help Table'!$A84,"and ",""))=0,LEN('Special Help Table'!$A84)-LEN(SUBSTITUTE('Special Help Table'!$A84,";",""))=0),'Special Help Table'!$A84,AND(LEN('Special Help Table'!$A84)-LEN(SUBSTITUTE('Special Help Table'!$A84,",","")=1),LEN('Special Help Table'!$A84)-LEN(SUBSTITUTE('Special Help Table'!$A84," ","")=20),LEN('Special Help Table'!$A84)-LEN(SUBSTITUTE('Special Help Table'!$A84," and",""))=0,LEN('Special Help Table'!$A84)-LEN(SUBSTITUTE('Special Help Table'!$A84,",","",FIND(" ",'Special Help Table'!$A84)+1))=0),RIGHT('Special Help Table'!$A84,LEN('Special Help Table'!$A84)-FIND(", ",'Special Help Table'!$A84))&amp;" "&amp;LEFT('Special Help Table'!$A84,FIND(",",'Special Help Table'!$A84)-1),AND(LEN('Special Help Table'!$A84)-LEN(SUBSTITUTE('Special Help Table'!$A84,"editor",""))=6,LEN('Special Help Table'!$A84)-LEN(SUBSTITUTE('Special Help Table'!$A84,"(",""))=0,LEN('Special Help Table'!$A84)-LEN(SUBSTITUTE('Special Help Table'!$A84,"and",""))=3,LEN('Special Help Table'!$A84)-LEN(SUBSTITUTE('Special Help Table'!$A84,",",""))=1,LEN('Special Help Table'!$A84)-LEN(SUBSTITUTE('Special Help Table'!$A84," ",""))=3),'Special Help Table'!$A84)</f>
        <v>#N/A</v>
      </c>
      <c r="C84" s="4" t="s">
        <v>201</v>
      </c>
      <c r="D84" s="2" t="s">
        <v>196</v>
      </c>
      <c r="E84" s="2" t="s">
        <v>16</v>
      </c>
      <c r="F84" s="2" t="s">
        <v>72</v>
      </c>
      <c r="G84" s="2"/>
      <c r="H84" s="2"/>
      <c r="I84" s="2"/>
      <c r="J84" s="2" t="s">
        <v>197</v>
      </c>
      <c r="K84" s="3">
        <v>44534</v>
      </c>
      <c r="L84" s="2"/>
      <c r="M84" s="2"/>
      <c r="N84" s="2" t="s">
        <v>18</v>
      </c>
    </row>
    <row r="85" spans="1:14" ht="15.75" customHeight="1" x14ac:dyDescent="0.35">
      <c r="A85" s="2" t="s">
        <v>202</v>
      </c>
      <c r="B85" s="2" t="str" cm="1">
        <f t="array" ref="B85">_xlfn.IFS(AND(LEN('Special Help Table'!$A85)-(LEN(SUBSTITUTE('Special Help Table'!$A85,";","")))=0,LEN('Special Help Table'!$A85)-LEN(SUBSTITUTE('Special Help Table'!$A85,",",""))=1,LEN('Special Help Table'!$A85)-LEN(SUBSTITUTE('Special Help Table'!$A85,"and ",""))=0),MID('Special Help Table'!$A85&amp;" "&amp;'Special Help Table'!$A85,SEARCH(", ",'Special Help Table'!$A85)+1,LEN('Special Help Table'!$A85)),AND(LEN('Special Help Table'!$A85)-(LEN(SUBSTITUTE('Special Help Table'!$A85,";","")))=1,LEN('Special Help Table'!$A85)-LEN(SUBSTITUTE('Special Help Table'!$A85,"and ",""))=0),MID('Special Help Table'!$A85,SEARCH(",",'Special Help Table'!$A85)+1,(SEARCH(";",'Special Help Table'!$A85)-1)-SEARCH(",",'Special Help Table'!$A85))&amp;" "&amp;LEFT('Special Help Table'!$A85,SEARCH(",",'Special Help Table'!$A85)-1)&amp;";"&amp;RIGHT('Special Help Table'!$A85,LEN('Special Help Table'!$A85)-SEARCH(",",'Special Help Table'!$A85,SEARCH(";",'Special Help Table'!$A85)))&amp;" "&amp;MID('Special Help Table'!$A85,SEARCH("; ",'Special Help Table'!$A85)+2,SEARCH(",",'Special Help Table'!$A85,SEARCH(";",'Special Help Table'!$A85))-SEARCH(";",'Special Help Table'!$A85)-2),AND(LEN('Special Help Table'!$A85)-LEN(SUBSTITUTE('Special Help Table'!$A85,"and ",""))=0,LEN('Special Help Table'!$A85)-LEN(SUBSTITUTE('Special Help Table'!$A85,";",""))=0),'Special Help Table'!$A85,AND(LEN('Special Help Table'!$A85)-LEN(SUBSTITUTE('Special Help Table'!$A85,",","")=1),LEN('Special Help Table'!$A85)-LEN(SUBSTITUTE('Special Help Table'!$A85," ","")=20),LEN('Special Help Table'!$A85)-LEN(SUBSTITUTE('Special Help Table'!$A85," and",""))=0,LEN('Special Help Table'!$A85)-LEN(SUBSTITUTE('Special Help Table'!$A85,",","",FIND(" ",'Special Help Table'!$A85)+1))=0),RIGHT('Special Help Table'!$A85,LEN('Special Help Table'!$A85)-FIND(", ",'Special Help Table'!$A85))&amp;" "&amp;LEFT('Special Help Table'!$A85,FIND(",",'Special Help Table'!$A85)-1),AND(LEN('Special Help Table'!$A85)-LEN(SUBSTITUTE('Special Help Table'!$A85,"editor",""))=6,LEN('Special Help Table'!$A85)-LEN(SUBSTITUTE('Special Help Table'!$A85,"(",""))=0,LEN('Special Help Table'!$A85)-LEN(SUBSTITUTE('Special Help Table'!$A85,"and",""))=3,LEN('Special Help Table'!$A85)-LEN(SUBSTITUTE('Special Help Table'!$A85,",",""))=1,LEN('Special Help Table'!$A85)-LEN(SUBSTITUTE('Special Help Table'!$A85," ",""))=3),'Special Help Table'!$A85)</f>
        <v xml:space="preserve"> Lydia Brownback</v>
      </c>
      <c r="C85" s="4" t="s">
        <v>203</v>
      </c>
      <c r="D85" s="2"/>
      <c r="E85" s="2" t="s">
        <v>16</v>
      </c>
      <c r="F85" s="2" t="s">
        <v>17</v>
      </c>
      <c r="G85" s="2"/>
      <c r="H85" s="2"/>
      <c r="I85" s="2"/>
      <c r="J85" s="2" t="s">
        <v>204</v>
      </c>
      <c r="K85" s="3"/>
      <c r="L85" s="2"/>
      <c r="M85" s="2"/>
      <c r="N85" s="2" t="s">
        <v>18</v>
      </c>
    </row>
    <row r="86" spans="1:14" ht="15.75" customHeight="1" x14ac:dyDescent="0.35">
      <c r="A86" s="2" t="s">
        <v>205</v>
      </c>
      <c r="B86" s="2" t="str" cm="1">
        <f t="array" ref="B86">_xlfn.IFS(AND(LEN('Special Help Table'!$A86)-(LEN(SUBSTITUTE('Special Help Table'!$A86,";","")))=0,LEN('Special Help Table'!$A86)-LEN(SUBSTITUTE('Special Help Table'!$A86,",",""))=1,LEN('Special Help Table'!$A86)-LEN(SUBSTITUTE('Special Help Table'!$A86,"and ",""))=0),MID('Special Help Table'!$A86&amp;" "&amp;'Special Help Table'!$A86,SEARCH(", ",'Special Help Table'!$A86)+1,LEN('Special Help Table'!$A86)),AND(LEN('Special Help Table'!$A86)-(LEN(SUBSTITUTE('Special Help Table'!$A86,";","")))=1,LEN('Special Help Table'!$A86)-LEN(SUBSTITUTE('Special Help Table'!$A86,"and ",""))=0),MID('Special Help Table'!$A86,SEARCH(",",'Special Help Table'!$A86)+1,(SEARCH(";",'Special Help Table'!$A86)-1)-SEARCH(",",'Special Help Table'!$A86))&amp;" "&amp;LEFT('Special Help Table'!$A86,SEARCH(",",'Special Help Table'!$A86)-1)&amp;";"&amp;RIGHT('Special Help Table'!$A86,LEN('Special Help Table'!$A86)-SEARCH(",",'Special Help Table'!$A86,SEARCH(";",'Special Help Table'!$A86)))&amp;" "&amp;MID('Special Help Table'!$A86,SEARCH("; ",'Special Help Table'!$A86)+2,SEARCH(",",'Special Help Table'!$A86,SEARCH(";",'Special Help Table'!$A86))-SEARCH(";",'Special Help Table'!$A86)-2),AND(LEN('Special Help Table'!$A86)-LEN(SUBSTITUTE('Special Help Table'!$A86,"and ",""))=0,LEN('Special Help Table'!$A86)-LEN(SUBSTITUTE('Special Help Table'!$A86,";",""))=0),'Special Help Table'!$A86,AND(LEN('Special Help Table'!$A86)-LEN(SUBSTITUTE('Special Help Table'!$A86,",","")=1),LEN('Special Help Table'!$A86)-LEN(SUBSTITUTE('Special Help Table'!$A86," ","")=20),LEN('Special Help Table'!$A86)-LEN(SUBSTITUTE('Special Help Table'!$A86," and",""))=0,LEN('Special Help Table'!$A86)-LEN(SUBSTITUTE('Special Help Table'!$A86,",","",FIND(" ",'Special Help Table'!$A86)+1))=0),RIGHT('Special Help Table'!$A86,LEN('Special Help Table'!$A86)-FIND(", ",'Special Help Table'!$A86))&amp;" "&amp;LEFT('Special Help Table'!$A86,FIND(",",'Special Help Table'!$A86)-1),AND(LEN('Special Help Table'!$A86)-LEN(SUBSTITUTE('Special Help Table'!$A86,"editor",""))=6,LEN('Special Help Table'!$A86)-LEN(SUBSTITUTE('Special Help Table'!$A86,"(",""))=0,LEN('Special Help Table'!$A86)-LEN(SUBSTITUTE('Special Help Table'!$A86,"and",""))=3,LEN('Special Help Table'!$A86)-LEN(SUBSTITUTE('Special Help Table'!$A86,",",""))=1,LEN('Special Help Table'!$A86)-LEN(SUBSTITUTE('Special Help Table'!$A86," ",""))=3),'Special Help Table'!$A86)</f>
        <v xml:space="preserve"> A.B. Bruce</v>
      </c>
      <c r="C86" s="2" t="s">
        <v>206</v>
      </c>
      <c r="D86" s="2"/>
      <c r="E86" s="2" t="s">
        <v>16</v>
      </c>
      <c r="F86" s="2" t="s">
        <v>36</v>
      </c>
      <c r="G86" s="2"/>
      <c r="H86" s="2"/>
      <c r="I86" s="2"/>
      <c r="J86" s="2"/>
      <c r="K86" s="3">
        <v>40034</v>
      </c>
      <c r="L86" s="2"/>
      <c r="M86" s="2"/>
      <c r="N86" s="2" t="s">
        <v>18</v>
      </c>
    </row>
    <row r="87" spans="1:14" ht="15.75" customHeight="1" x14ac:dyDescent="0.35">
      <c r="A87" s="2" t="s">
        <v>207</v>
      </c>
      <c r="B87" s="2" t="str" cm="1">
        <f t="array" ref="B87">_xlfn.IFS(AND(LEN('Special Help Table'!$A87)-(LEN(SUBSTITUTE('Special Help Table'!$A87,";","")))=0,LEN('Special Help Table'!$A87)-LEN(SUBSTITUTE('Special Help Table'!$A87,",",""))=1,LEN('Special Help Table'!$A87)-LEN(SUBSTITUTE('Special Help Table'!$A87,"and ",""))=0),MID('Special Help Table'!$A87&amp;" "&amp;'Special Help Table'!$A87,SEARCH(", ",'Special Help Table'!$A87)+1,LEN('Special Help Table'!$A87)),AND(LEN('Special Help Table'!$A87)-(LEN(SUBSTITUTE('Special Help Table'!$A87,";","")))=1,LEN('Special Help Table'!$A87)-LEN(SUBSTITUTE('Special Help Table'!$A87,"and ",""))=0),MID('Special Help Table'!$A87,SEARCH(",",'Special Help Table'!$A87)+1,(SEARCH(";",'Special Help Table'!$A87)-1)-SEARCH(",",'Special Help Table'!$A87))&amp;" "&amp;LEFT('Special Help Table'!$A87,SEARCH(",",'Special Help Table'!$A87)-1)&amp;";"&amp;RIGHT('Special Help Table'!$A87,LEN('Special Help Table'!$A87)-SEARCH(",",'Special Help Table'!$A87,SEARCH(";",'Special Help Table'!$A87)))&amp;" "&amp;MID('Special Help Table'!$A87,SEARCH("; ",'Special Help Table'!$A87)+2,SEARCH(",",'Special Help Table'!$A87,SEARCH(";",'Special Help Table'!$A87))-SEARCH(";",'Special Help Table'!$A87)-2),AND(LEN('Special Help Table'!$A87)-LEN(SUBSTITUTE('Special Help Table'!$A87,"and ",""))=0,LEN('Special Help Table'!$A87)-LEN(SUBSTITUTE('Special Help Table'!$A87,";",""))=0),'Special Help Table'!$A87,AND(LEN('Special Help Table'!$A87)-LEN(SUBSTITUTE('Special Help Table'!$A87,",","")=1),LEN('Special Help Table'!$A87)-LEN(SUBSTITUTE('Special Help Table'!$A87," ","")=20),LEN('Special Help Table'!$A87)-LEN(SUBSTITUTE('Special Help Table'!$A87," and",""))=0,LEN('Special Help Table'!$A87)-LEN(SUBSTITUTE('Special Help Table'!$A87,",","",FIND(" ",'Special Help Table'!$A87)+1))=0),RIGHT('Special Help Table'!$A87,LEN('Special Help Table'!$A87)-FIND(", ",'Special Help Table'!$A87))&amp;" "&amp;LEFT('Special Help Table'!$A87,FIND(",",'Special Help Table'!$A87)-1),AND(LEN('Special Help Table'!$A87)-LEN(SUBSTITUTE('Special Help Table'!$A87,"editor",""))=6,LEN('Special Help Table'!$A87)-LEN(SUBSTITUTE('Special Help Table'!$A87,"(",""))=0,LEN('Special Help Table'!$A87)-LEN(SUBSTITUTE('Special Help Table'!$A87,"and",""))=3,LEN('Special Help Table'!$A87)-LEN(SUBSTITUTE('Special Help Table'!$A87,",",""))=1,LEN('Special Help Table'!$A87)-LEN(SUBSTITUTE('Special Help Table'!$A87," ",""))=3),'Special Help Table'!$A87)</f>
        <v xml:space="preserve"> Kelley Deegan Bruss</v>
      </c>
      <c r="C87" s="4" t="s">
        <v>208</v>
      </c>
      <c r="D87" s="2"/>
      <c r="E87" s="2" t="s">
        <v>16</v>
      </c>
      <c r="F87" s="2" t="s">
        <v>72</v>
      </c>
      <c r="G87" s="2"/>
      <c r="H87" s="2"/>
      <c r="I87" s="2"/>
      <c r="J87" s="2"/>
      <c r="K87" s="3">
        <v>41164</v>
      </c>
      <c r="L87" s="2"/>
      <c r="M87" s="2"/>
      <c r="N87" s="2" t="s">
        <v>18</v>
      </c>
    </row>
    <row r="88" spans="1:14" ht="15.75" customHeight="1" x14ac:dyDescent="0.35">
      <c r="A88" s="2" t="s">
        <v>209</v>
      </c>
      <c r="B88" s="2" t="str" cm="1">
        <f t="array" ref="B88">_xlfn.IFS(AND(LEN('Special Help Table'!$A88)-(LEN(SUBSTITUTE('Special Help Table'!$A88,";","")))=0,LEN('Special Help Table'!$A88)-LEN(SUBSTITUTE('Special Help Table'!$A88,",",""))=1,LEN('Special Help Table'!$A88)-LEN(SUBSTITUTE('Special Help Table'!$A88,"and ",""))=0),MID('Special Help Table'!$A88&amp;" "&amp;'Special Help Table'!$A88,SEARCH(", ",'Special Help Table'!$A88)+1,LEN('Special Help Table'!$A88)),AND(LEN('Special Help Table'!$A88)-(LEN(SUBSTITUTE('Special Help Table'!$A88,";","")))=1,LEN('Special Help Table'!$A88)-LEN(SUBSTITUTE('Special Help Table'!$A88,"and ",""))=0),MID('Special Help Table'!$A88,SEARCH(",",'Special Help Table'!$A88)+1,(SEARCH(";",'Special Help Table'!$A88)-1)-SEARCH(",",'Special Help Table'!$A88))&amp;" "&amp;LEFT('Special Help Table'!$A88,SEARCH(",",'Special Help Table'!$A88)-1)&amp;";"&amp;RIGHT('Special Help Table'!$A88,LEN('Special Help Table'!$A88)-SEARCH(",",'Special Help Table'!$A88,SEARCH(";",'Special Help Table'!$A88)))&amp;" "&amp;MID('Special Help Table'!$A88,SEARCH("; ",'Special Help Table'!$A88)+2,SEARCH(",",'Special Help Table'!$A88,SEARCH(";",'Special Help Table'!$A88))-SEARCH(";",'Special Help Table'!$A88)-2),AND(LEN('Special Help Table'!$A88)-LEN(SUBSTITUTE('Special Help Table'!$A88,"and ",""))=0,LEN('Special Help Table'!$A88)-LEN(SUBSTITUTE('Special Help Table'!$A88,";",""))=0),'Special Help Table'!$A88,AND(LEN('Special Help Table'!$A88)-LEN(SUBSTITUTE('Special Help Table'!$A88,",","")=1),LEN('Special Help Table'!$A88)-LEN(SUBSTITUTE('Special Help Table'!$A88," ","")=20),LEN('Special Help Table'!$A88)-LEN(SUBSTITUTE('Special Help Table'!$A88," and",""))=0,LEN('Special Help Table'!$A88)-LEN(SUBSTITUTE('Special Help Table'!$A88,",","",FIND(" ",'Special Help Table'!$A88)+1))=0),RIGHT('Special Help Table'!$A88,LEN('Special Help Table'!$A88)-FIND(", ",'Special Help Table'!$A88))&amp;" "&amp;LEFT('Special Help Table'!$A88,FIND(",",'Special Help Table'!$A88)-1),AND(LEN('Special Help Table'!$A88)-LEN(SUBSTITUTE('Special Help Table'!$A88,"editor",""))=6,LEN('Special Help Table'!$A88)-LEN(SUBSTITUTE('Special Help Table'!$A88,"(",""))=0,LEN('Special Help Table'!$A88)-LEN(SUBSTITUTE('Special Help Table'!$A88,"and",""))=3,LEN('Special Help Table'!$A88)-LEN(SUBSTITUTE('Special Help Table'!$A88,",",""))=1,LEN('Special Help Table'!$A88)-LEN(SUBSTITUTE('Special Help Table'!$A88," ",""))=3),'Special Help Table'!$A88)</f>
        <v xml:space="preserve"> Josiah Bull</v>
      </c>
      <c r="C88" s="2" t="s">
        <v>210</v>
      </c>
      <c r="D88" s="2"/>
      <c r="E88" s="2" t="s">
        <v>16</v>
      </c>
      <c r="F88" s="2" t="s">
        <v>39</v>
      </c>
      <c r="G88" s="2"/>
      <c r="H88" s="2"/>
      <c r="I88" s="2"/>
      <c r="J88" s="2"/>
      <c r="K88" s="3">
        <v>43046</v>
      </c>
      <c r="L88" s="2"/>
      <c r="M88" s="2"/>
      <c r="N88" s="2" t="s">
        <v>18</v>
      </c>
    </row>
    <row r="89" spans="1:14" ht="15.75" customHeight="1" x14ac:dyDescent="0.35">
      <c r="A89" s="2" t="s">
        <v>211</v>
      </c>
      <c r="B89" s="2" t="str" cm="1">
        <f t="array" ref="B89">_xlfn.IFS(AND(LEN('Special Help Table'!$A89)-(LEN(SUBSTITUTE('Special Help Table'!$A89,";","")))=0,LEN('Special Help Table'!$A89)-LEN(SUBSTITUTE('Special Help Table'!$A89,",",""))=1,LEN('Special Help Table'!$A89)-LEN(SUBSTITUTE('Special Help Table'!$A89,"and ",""))=0),MID('Special Help Table'!$A89&amp;" "&amp;'Special Help Table'!$A89,SEARCH(", ",'Special Help Table'!$A89)+1,LEN('Special Help Table'!$A89)),AND(LEN('Special Help Table'!$A89)-(LEN(SUBSTITUTE('Special Help Table'!$A89,";","")))=1,LEN('Special Help Table'!$A89)-LEN(SUBSTITUTE('Special Help Table'!$A89,"and ",""))=0),MID('Special Help Table'!$A89,SEARCH(",",'Special Help Table'!$A89)+1,(SEARCH(";",'Special Help Table'!$A89)-1)-SEARCH(",",'Special Help Table'!$A89))&amp;" "&amp;LEFT('Special Help Table'!$A89,SEARCH(",",'Special Help Table'!$A89)-1)&amp;";"&amp;RIGHT('Special Help Table'!$A89,LEN('Special Help Table'!$A89)-SEARCH(",",'Special Help Table'!$A89,SEARCH(";",'Special Help Table'!$A89)))&amp;" "&amp;MID('Special Help Table'!$A89,SEARCH("; ",'Special Help Table'!$A89)+2,SEARCH(",",'Special Help Table'!$A89,SEARCH(";",'Special Help Table'!$A89))-SEARCH(";",'Special Help Table'!$A89)-2),AND(LEN('Special Help Table'!$A89)-LEN(SUBSTITUTE('Special Help Table'!$A89,"and ",""))=0,LEN('Special Help Table'!$A89)-LEN(SUBSTITUTE('Special Help Table'!$A89,";",""))=0),'Special Help Table'!$A89,AND(LEN('Special Help Table'!$A89)-LEN(SUBSTITUTE('Special Help Table'!$A89,",","")=1),LEN('Special Help Table'!$A89)-LEN(SUBSTITUTE('Special Help Table'!$A89," ","")=20),LEN('Special Help Table'!$A89)-LEN(SUBSTITUTE('Special Help Table'!$A89," and",""))=0,LEN('Special Help Table'!$A89)-LEN(SUBSTITUTE('Special Help Table'!$A89,",","",FIND(" ",'Special Help Table'!$A89)+1))=0),RIGHT('Special Help Table'!$A89,LEN('Special Help Table'!$A89)-FIND(", ",'Special Help Table'!$A89))&amp;" "&amp;LEFT('Special Help Table'!$A89,FIND(",",'Special Help Table'!$A89)-1),AND(LEN('Special Help Table'!$A89)-LEN(SUBSTITUTE('Special Help Table'!$A89,"editor",""))=6,LEN('Special Help Table'!$A89)-LEN(SUBSTITUTE('Special Help Table'!$A89,"(",""))=0,LEN('Special Help Table'!$A89)-LEN(SUBSTITUTE('Special Help Table'!$A89,"and",""))=3,LEN('Special Help Table'!$A89)-LEN(SUBSTITUTE('Special Help Table'!$A89,",",""))=1,LEN('Special Help Table'!$A89)-LEN(SUBSTITUTE('Special Help Table'!$A89," ",""))=3),'Special Help Table'!$A89)</f>
        <v xml:space="preserve"> John Bunyan</v>
      </c>
      <c r="C89" s="4" t="s">
        <v>212</v>
      </c>
      <c r="D89" s="2"/>
      <c r="E89" s="2" t="s">
        <v>16</v>
      </c>
      <c r="F89" s="2" t="s">
        <v>39</v>
      </c>
      <c r="G89" s="2"/>
      <c r="H89" s="2"/>
      <c r="I89" s="2"/>
      <c r="J89" s="2"/>
      <c r="K89" s="3">
        <v>40035</v>
      </c>
      <c r="L89" s="2"/>
      <c r="M89" s="2"/>
      <c r="N89" s="2" t="s">
        <v>18</v>
      </c>
    </row>
    <row r="90" spans="1:14" ht="15.75" customHeight="1" x14ac:dyDescent="0.35">
      <c r="A90" s="2" t="s">
        <v>211</v>
      </c>
      <c r="B90" s="2" t="str" cm="1">
        <f t="array" ref="B90">_xlfn.IFS(AND(LEN('Special Help Table'!$A90)-(LEN(SUBSTITUTE('Special Help Table'!$A90,";","")))=0,LEN('Special Help Table'!$A90)-LEN(SUBSTITUTE('Special Help Table'!$A90,",",""))=1,LEN('Special Help Table'!$A90)-LEN(SUBSTITUTE('Special Help Table'!$A90,"and ",""))=0),MID('Special Help Table'!$A90&amp;" "&amp;'Special Help Table'!$A90,SEARCH(", ",'Special Help Table'!$A90)+1,LEN('Special Help Table'!$A90)),AND(LEN('Special Help Table'!$A90)-(LEN(SUBSTITUTE('Special Help Table'!$A90,";","")))=1,LEN('Special Help Table'!$A90)-LEN(SUBSTITUTE('Special Help Table'!$A90,"and ",""))=0),MID('Special Help Table'!$A90,SEARCH(",",'Special Help Table'!$A90)+1,(SEARCH(";",'Special Help Table'!$A90)-1)-SEARCH(",",'Special Help Table'!$A90))&amp;" "&amp;LEFT('Special Help Table'!$A90,SEARCH(",",'Special Help Table'!$A90)-1)&amp;";"&amp;RIGHT('Special Help Table'!$A90,LEN('Special Help Table'!$A90)-SEARCH(",",'Special Help Table'!$A90,SEARCH(";",'Special Help Table'!$A90)))&amp;" "&amp;MID('Special Help Table'!$A90,SEARCH("; ",'Special Help Table'!$A90)+2,SEARCH(",",'Special Help Table'!$A90,SEARCH(";",'Special Help Table'!$A90))-SEARCH(";",'Special Help Table'!$A90)-2),AND(LEN('Special Help Table'!$A90)-LEN(SUBSTITUTE('Special Help Table'!$A90,"and ",""))=0,LEN('Special Help Table'!$A90)-LEN(SUBSTITUTE('Special Help Table'!$A90,";",""))=0),'Special Help Table'!$A90,AND(LEN('Special Help Table'!$A90)-LEN(SUBSTITUTE('Special Help Table'!$A90,",","")=1),LEN('Special Help Table'!$A90)-LEN(SUBSTITUTE('Special Help Table'!$A90," ","")=20),LEN('Special Help Table'!$A90)-LEN(SUBSTITUTE('Special Help Table'!$A90," and",""))=0,LEN('Special Help Table'!$A90)-LEN(SUBSTITUTE('Special Help Table'!$A90,",","",FIND(" ",'Special Help Table'!$A90)+1))=0),RIGHT('Special Help Table'!$A90,LEN('Special Help Table'!$A90)-FIND(", ",'Special Help Table'!$A90))&amp;" "&amp;LEFT('Special Help Table'!$A90,FIND(",",'Special Help Table'!$A90)-1),AND(LEN('Special Help Table'!$A90)-LEN(SUBSTITUTE('Special Help Table'!$A90,"editor",""))=6,LEN('Special Help Table'!$A90)-LEN(SUBSTITUTE('Special Help Table'!$A90,"(",""))=0,LEN('Special Help Table'!$A90)-LEN(SUBSTITUTE('Special Help Table'!$A90,"and",""))=3,LEN('Special Help Table'!$A90)-LEN(SUBSTITUTE('Special Help Table'!$A90,",",""))=1,LEN('Special Help Table'!$A90)-LEN(SUBSTITUTE('Special Help Table'!$A90," ",""))=3),'Special Help Table'!$A90)</f>
        <v xml:space="preserve"> John Bunyan</v>
      </c>
      <c r="C90" s="4" t="s">
        <v>213</v>
      </c>
      <c r="D90" s="2"/>
      <c r="E90" s="2" t="s">
        <v>16</v>
      </c>
      <c r="F90" s="2" t="s">
        <v>72</v>
      </c>
      <c r="G90" s="2"/>
      <c r="H90" s="2"/>
      <c r="I90" s="2"/>
      <c r="J90" s="2"/>
      <c r="K90" s="3">
        <v>41346</v>
      </c>
      <c r="L90" s="2"/>
      <c r="M90" s="2"/>
      <c r="N90" s="2" t="s">
        <v>18</v>
      </c>
    </row>
    <row r="91" spans="1:14" ht="15.75" customHeight="1" x14ac:dyDescent="0.35">
      <c r="A91" s="2" t="s">
        <v>211</v>
      </c>
      <c r="B91" s="2" t="str" cm="1">
        <f t="array" ref="B91">_xlfn.IFS(AND(LEN('Special Help Table'!$A91)-(LEN(SUBSTITUTE('Special Help Table'!$A91,";","")))=0,LEN('Special Help Table'!$A91)-LEN(SUBSTITUTE('Special Help Table'!$A91,",",""))=1,LEN('Special Help Table'!$A91)-LEN(SUBSTITUTE('Special Help Table'!$A91,"and ",""))=0),MID('Special Help Table'!$A91&amp;" "&amp;'Special Help Table'!$A91,SEARCH(", ",'Special Help Table'!$A91)+1,LEN('Special Help Table'!$A91)),AND(LEN('Special Help Table'!$A91)-(LEN(SUBSTITUTE('Special Help Table'!$A91,";","")))=1,LEN('Special Help Table'!$A91)-LEN(SUBSTITUTE('Special Help Table'!$A91,"and ",""))=0),MID('Special Help Table'!$A91,SEARCH(",",'Special Help Table'!$A91)+1,(SEARCH(";",'Special Help Table'!$A91)-1)-SEARCH(",",'Special Help Table'!$A91))&amp;" "&amp;LEFT('Special Help Table'!$A91,SEARCH(",",'Special Help Table'!$A91)-1)&amp;";"&amp;RIGHT('Special Help Table'!$A91,LEN('Special Help Table'!$A91)-SEARCH(",",'Special Help Table'!$A91,SEARCH(";",'Special Help Table'!$A91)))&amp;" "&amp;MID('Special Help Table'!$A91,SEARCH("; ",'Special Help Table'!$A91)+2,SEARCH(",",'Special Help Table'!$A91,SEARCH(";",'Special Help Table'!$A91))-SEARCH(";",'Special Help Table'!$A91)-2),AND(LEN('Special Help Table'!$A91)-LEN(SUBSTITUTE('Special Help Table'!$A91,"and ",""))=0,LEN('Special Help Table'!$A91)-LEN(SUBSTITUTE('Special Help Table'!$A91,";",""))=0),'Special Help Table'!$A91,AND(LEN('Special Help Table'!$A91)-LEN(SUBSTITUTE('Special Help Table'!$A91,",","")=1),LEN('Special Help Table'!$A91)-LEN(SUBSTITUTE('Special Help Table'!$A91," ","")=20),LEN('Special Help Table'!$A91)-LEN(SUBSTITUTE('Special Help Table'!$A91," and",""))=0,LEN('Special Help Table'!$A91)-LEN(SUBSTITUTE('Special Help Table'!$A91,",","",FIND(" ",'Special Help Table'!$A91)+1))=0),RIGHT('Special Help Table'!$A91,LEN('Special Help Table'!$A91)-FIND(", ",'Special Help Table'!$A91))&amp;" "&amp;LEFT('Special Help Table'!$A91,FIND(",",'Special Help Table'!$A91)-1),AND(LEN('Special Help Table'!$A91)-LEN(SUBSTITUTE('Special Help Table'!$A91,"editor",""))=6,LEN('Special Help Table'!$A91)-LEN(SUBSTITUTE('Special Help Table'!$A91,"(",""))=0,LEN('Special Help Table'!$A91)-LEN(SUBSTITUTE('Special Help Table'!$A91,"and",""))=3,LEN('Special Help Table'!$A91)-LEN(SUBSTITUTE('Special Help Table'!$A91,",",""))=1,LEN('Special Help Table'!$A91)-LEN(SUBSTITUTE('Special Help Table'!$A91," ",""))=3),'Special Help Table'!$A91)</f>
        <v xml:space="preserve"> John Bunyan</v>
      </c>
      <c r="C91" s="4" t="s">
        <v>214</v>
      </c>
      <c r="D91" s="2"/>
      <c r="E91" s="2" t="s">
        <v>16</v>
      </c>
      <c r="F91" s="2" t="s">
        <v>151</v>
      </c>
      <c r="G91" s="2"/>
      <c r="H91" s="2"/>
      <c r="I91" s="2"/>
      <c r="J91" s="2"/>
      <c r="K91" s="3">
        <v>40034</v>
      </c>
      <c r="L91" s="2"/>
      <c r="M91" s="2"/>
      <c r="N91" s="2" t="s">
        <v>18</v>
      </c>
    </row>
    <row r="92" spans="1:14" ht="15.75" customHeight="1" x14ac:dyDescent="0.35">
      <c r="A92" s="2" t="s">
        <v>215</v>
      </c>
      <c r="B92" s="2" t="str" cm="1">
        <f t="array" ref="B92">_xlfn.IFS(AND(LEN('Special Help Table'!$A92)-(LEN(SUBSTITUTE('Special Help Table'!$A92,";","")))=0,LEN('Special Help Table'!$A92)-LEN(SUBSTITUTE('Special Help Table'!$A92,",",""))=1,LEN('Special Help Table'!$A92)-LEN(SUBSTITUTE('Special Help Table'!$A92,"and ",""))=0),MID('Special Help Table'!$A92&amp;" "&amp;'Special Help Table'!$A92,SEARCH(", ",'Special Help Table'!$A92)+1,LEN('Special Help Table'!$A92)),AND(LEN('Special Help Table'!$A92)-(LEN(SUBSTITUTE('Special Help Table'!$A92,";","")))=1,LEN('Special Help Table'!$A92)-LEN(SUBSTITUTE('Special Help Table'!$A92,"and ",""))=0),MID('Special Help Table'!$A92,SEARCH(",",'Special Help Table'!$A92)+1,(SEARCH(";",'Special Help Table'!$A92)-1)-SEARCH(",",'Special Help Table'!$A92))&amp;" "&amp;LEFT('Special Help Table'!$A92,SEARCH(",",'Special Help Table'!$A92)-1)&amp;";"&amp;RIGHT('Special Help Table'!$A92,LEN('Special Help Table'!$A92)-SEARCH(",",'Special Help Table'!$A92,SEARCH(";",'Special Help Table'!$A92)))&amp;" "&amp;MID('Special Help Table'!$A92,SEARCH("; ",'Special Help Table'!$A92)+2,SEARCH(",",'Special Help Table'!$A92,SEARCH(";",'Special Help Table'!$A92))-SEARCH(";",'Special Help Table'!$A92)-2),AND(LEN('Special Help Table'!$A92)-LEN(SUBSTITUTE('Special Help Table'!$A92,"and ",""))=0,LEN('Special Help Table'!$A92)-LEN(SUBSTITUTE('Special Help Table'!$A92,";",""))=0),'Special Help Table'!$A92,AND(LEN('Special Help Table'!$A92)-LEN(SUBSTITUTE('Special Help Table'!$A92,",","")=1),LEN('Special Help Table'!$A92)-LEN(SUBSTITUTE('Special Help Table'!$A92," ","")=20),LEN('Special Help Table'!$A92)-LEN(SUBSTITUTE('Special Help Table'!$A92," and",""))=0,LEN('Special Help Table'!$A92)-LEN(SUBSTITUTE('Special Help Table'!$A92,",","",FIND(" ",'Special Help Table'!$A92)+1))=0),RIGHT('Special Help Table'!$A92,LEN('Special Help Table'!$A92)-FIND(", ",'Special Help Table'!$A92))&amp;" "&amp;LEFT('Special Help Table'!$A92,FIND(",",'Special Help Table'!$A92)-1),AND(LEN('Special Help Table'!$A92)-LEN(SUBSTITUTE('Special Help Table'!$A92,"editor",""))=6,LEN('Special Help Table'!$A92)-LEN(SUBSTITUTE('Special Help Table'!$A92,"(",""))=0,LEN('Special Help Table'!$A92)-LEN(SUBSTITUTE('Special Help Table'!$A92,"and",""))=3,LEN('Special Help Table'!$A92)-LEN(SUBSTITUTE('Special Help Table'!$A92,",",""))=1,LEN('Special Help Table'!$A92)-LEN(SUBSTITUTE('Special Help Table'!$A92," ",""))=3),'Special Help Table'!$A92)</f>
        <v xml:space="preserve"> Denny Burk</v>
      </c>
      <c r="C92" s="4" t="s">
        <v>216</v>
      </c>
      <c r="D92" s="2" t="s">
        <v>217</v>
      </c>
      <c r="E92" s="2" t="s">
        <v>16</v>
      </c>
      <c r="F92" s="2" t="s">
        <v>17</v>
      </c>
      <c r="G92" s="2"/>
      <c r="H92" s="2"/>
      <c r="I92" s="2"/>
      <c r="J92" s="2" t="s">
        <v>31</v>
      </c>
      <c r="K92" s="3">
        <v>43160</v>
      </c>
      <c r="L92" s="2"/>
      <c r="M92" s="2"/>
      <c r="N92" s="2" t="s">
        <v>18</v>
      </c>
    </row>
    <row r="93" spans="1:14" ht="15.75" customHeight="1" x14ac:dyDescent="0.35">
      <c r="A93" s="2" t="s">
        <v>218</v>
      </c>
      <c r="B93" s="2" t="str" cm="1">
        <f t="array" ref="B93">_xlfn.IFS(AND(LEN('Special Help Table'!$A93)-(LEN(SUBSTITUTE('Special Help Table'!$A93,";","")))=0,LEN('Special Help Table'!$A93)-LEN(SUBSTITUTE('Special Help Table'!$A93,",",""))=1,LEN('Special Help Table'!$A93)-LEN(SUBSTITUTE('Special Help Table'!$A93,"and ",""))=0),MID('Special Help Table'!$A93&amp;" "&amp;'Special Help Table'!$A93,SEARCH(", ",'Special Help Table'!$A93)+1,LEN('Special Help Table'!$A93)),AND(LEN('Special Help Table'!$A93)-(LEN(SUBSTITUTE('Special Help Table'!$A93,";","")))=1,LEN('Special Help Table'!$A93)-LEN(SUBSTITUTE('Special Help Table'!$A93,"and ",""))=0),MID('Special Help Table'!$A93,SEARCH(",",'Special Help Table'!$A93)+1,(SEARCH(";",'Special Help Table'!$A93)-1)-SEARCH(",",'Special Help Table'!$A93))&amp;" "&amp;LEFT('Special Help Table'!$A93,SEARCH(",",'Special Help Table'!$A93)-1)&amp;";"&amp;RIGHT('Special Help Table'!$A93,LEN('Special Help Table'!$A93)-SEARCH(",",'Special Help Table'!$A93,SEARCH(";",'Special Help Table'!$A93)))&amp;" "&amp;MID('Special Help Table'!$A93,SEARCH("; ",'Special Help Table'!$A93)+2,SEARCH(",",'Special Help Table'!$A93,SEARCH(";",'Special Help Table'!$A93))-SEARCH(";",'Special Help Table'!$A93)-2),AND(LEN('Special Help Table'!$A93)-LEN(SUBSTITUTE('Special Help Table'!$A93,"and ",""))=0,LEN('Special Help Table'!$A93)-LEN(SUBSTITUTE('Special Help Table'!$A93,";",""))=0),'Special Help Table'!$A93,AND(LEN('Special Help Table'!$A93)-LEN(SUBSTITUTE('Special Help Table'!$A93,",","")=1),LEN('Special Help Table'!$A93)-LEN(SUBSTITUTE('Special Help Table'!$A93," ","")=20),LEN('Special Help Table'!$A93)-LEN(SUBSTITUTE('Special Help Table'!$A93," and",""))=0,LEN('Special Help Table'!$A93)-LEN(SUBSTITUTE('Special Help Table'!$A93,",","",FIND(" ",'Special Help Table'!$A93)+1))=0),RIGHT('Special Help Table'!$A93,LEN('Special Help Table'!$A93)-FIND(", ",'Special Help Table'!$A93))&amp;" "&amp;LEFT('Special Help Table'!$A93,FIND(",",'Special Help Table'!$A93)-1),AND(LEN('Special Help Table'!$A93)-LEN(SUBSTITUTE('Special Help Table'!$A93,"editor",""))=6,LEN('Special Help Table'!$A93)-LEN(SUBSTITUTE('Special Help Table'!$A93,"(",""))=0,LEN('Special Help Table'!$A93)-LEN(SUBSTITUTE('Special Help Table'!$A93,"and",""))=3,LEN('Special Help Table'!$A93)-LEN(SUBSTITUTE('Special Help Table'!$A93,",",""))=1,LEN('Special Help Table'!$A93)-LEN(SUBSTITUTE('Special Help Table'!$A93," ",""))=3),'Special Help Table'!$A93)</f>
        <v xml:space="preserve"> Jeremiah Burroughs</v>
      </c>
      <c r="C93" s="4" t="s">
        <v>219</v>
      </c>
      <c r="D93" s="2"/>
      <c r="E93" s="2" t="s">
        <v>16</v>
      </c>
      <c r="F93" s="2" t="s">
        <v>36</v>
      </c>
      <c r="G93" s="2"/>
      <c r="H93" s="2" t="s">
        <v>82</v>
      </c>
      <c r="I93" s="2"/>
      <c r="J93" s="2"/>
      <c r="K93" s="3">
        <v>43704</v>
      </c>
      <c r="L93" s="2"/>
      <c r="M93" s="2"/>
      <c r="N93" s="2" t="s">
        <v>18</v>
      </c>
    </row>
    <row r="94" spans="1:14" ht="15.75" customHeight="1" x14ac:dyDescent="0.35">
      <c r="A94" s="2" t="s">
        <v>218</v>
      </c>
      <c r="B94" s="2" t="str" cm="1">
        <f t="array" ref="B94">_xlfn.IFS(AND(LEN('Special Help Table'!$A94)-(LEN(SUBSTITUTE('Special Help Table'!$A94,";","")))=0,LEN('Special Help Table'!$A94)-LEN(SUBSTITUTE('Special Help Table'!$A94,",",""))=1,LEN('Special Help Table'!$A94)-LEN(SUBSTITUTE('Special Help Table'!$A94,"and ",""))=0),MID('Special Help Table'!$A94&amp;" "&amp;'Special Help Table'!$A94,SEARCH(", ",'Special Help Table'!$A94)+1,LEN('Special Help Table'!$A94)),AND(LEN('Special Help Table'!$A94)-(LEN(SUBSTITUTE('Special Help Table'!$A94,";","")))=1,LEN('Special Help Table'!$A94)-LEN(SUBSTITUTE('Special Help Table'!$A94,"and ",""))=0),MID('Special Help Table'!$A94,SEARCH(",",'Special Help Table'!$A94)+1,(SEARCH(";",'Special Help Table'!$A94)-1)-SEARCH(",",'Special Help Table'!$A94))&amp;" "&amp;LEFT('Special Help Table'!$A94,SEARCH(",",'Special Help Table'!$A94)-1)&amp;";"&amp;RIGHT('Special Help Table'!$A94,LEN('Special Help Table'!$A94)-SEARCH(",",'Special Help Table'!$A94,SEARCH(";",'Special Help Table'!$A94)))&amp;" "&amp;MID('Special Help Table'!$A94,SEARCH("; ",'Special Help Table'!$A94)+2,SEARCH(",",'Special Help Table'!$A94,SEARCH(";",'Special Help Table'!$A94))-SEARCH(";",'Special Help Table'!$A94)-2),AND(LEN('Special Help Table'!$A94)-LEN(SUBSTITUTE('Special Help Table'!$A94,"and ",""))=0,LEN('Special Help Table'!$A94)-LEN(SUBSTITUTE('Special Help Table'!$A94,";",""))=0),'Special Help Table'!$A94,AND(LEN('Special Help Table'!$A94)-LEN(SUBSTITUTE('Special Help Table'!$A94,",","")=1),LEN('Special Help Table'!$A94)-LEN(SUBSTITUTE('Special Help Table'!$A94," ","")=20),LEN('Special Help Table'!$A94)-LEN(SUBSTITUTE('Special Help Table'!$A94," and",""))=0,LEN('Special Help Table'!$A94)-LEN(SUBSTITUTE('Special Help Table'!$A94,",","",FIND(" ",'Special Help Table'!$A94)+1))=0),RIGHT('Special Help Table'!$A94,LEN('Special Help Table'!$A94)-FIND(", ",'Special Help Table'!$A94))&amp;" "&amp;LEFT('Special Help Table'!$A94,FIND(",",'Special Help Table'!$A94)-1),AND(LEN('Special Help Table'!$A94)-LEN(SUBSTITUTE('Special Help Table'!$A94,"editor",""))=6,LEN('Special Help Table'!$A94)-LEN(SUBSTITUTE('Special Help Table'!$A94,"(",""))=0,LEN('Special Help Table'!$A94)-LEN(SUBSTITUTE('Special Help Table'!$A94,"and",""))=3,LEN('Special Help Table'!$A94)-LEN(SUBSTITUTE('Special Help Table'!$A94,",",""))=1,LEN('Special Help Table'!$A94)-LEN(SUBSTITUTE('Special Help Table'!$A94," ",""))=3),'Special Help Table'!$A94)</f>
        <v xml:space="preserve"> Jeremiah Burroughs</v>
      </c>
      <c r="C94" s="4" t="s">
        <v>220</v>
      </c>
      <c r="D94" s="2"/>
      <c r="E94" s="2" t="s">
        <v>16</v>
      </c>
      <c r="F94" s="2" t="s">
        <v>36</v>
      </c>
      <c r="G94" s="2"/>
      <c r="H94" s="2" t="s">
        <v>82</v>
      </c>
      <c r="I94" s="2"/>
      <c r="J94" s="2"/>
      <c r="K94" s="3">
        <v>42353</v>
      </c>
      <c r="L94" s="2"/>
      <c r="M94" s="2"/>
      <c r="N94" s="2" t="s">
        <v>18</v>
      </c>
    </row>
    <row r="95" spans="1:14" ht="15.75" customHeight="1" x14ac:dyDescent="0.35">
      <c r="A95" s="2" t="s">
        <v>221</v>
      </c>
      <c r="B95" s="2" t="str" cm="1">
        <f t="array" ref="B95">_xlfn.IFS(AND(LEN('Special Help Table'!$A95)-(LEN(SUBSTITUTE('Special Help Table'!$A95,";","")))=0,LEN('Special Help Table'!$A95)-LEN(SUBSTITUTE('Special Help Table'!$A95,",",""))=1,LEN('Special Help Table'!$A95)-LEN(SUBSTITUTE('Special Help Table'!$A95,"and ",""))=0),MID('Special Help Table'!$A95&amp;" "&amp;'Special Help Table'!$A95,SEARCH(", ",'Special Help Table'!$A95)+1,LEN('Special Help Table'!$A95)),AND(LEN('Special Help Table'!$A95)-(LEN(SUBSTITUTE('Special Help Table'!$A95,";","")))=1,LEN('Special Help Table'!$A95)-LEN(SUBSTITUTE('Special Help Table'!$A95,"and ",""))=0),MID('Special Help Table'!$A95,SEARCH(",",'Special Help Table'!$A95)+1,(SEARCH(";",'Special Help Table'!$A95)-1)-SEARCH(",",'Special Help Table'!$A95))&amp;" "&amp;LEFT('Special Help Table'!$A95,SEARCH(",",'Special Help Table'!$A95)-1)&amp;";"&amp;RIGHT('Special Help Table'!$A95,LEN('Special Help Table'!$A95)-SEARCH(",",'Special Help Table'!$A95,SEARCH(";",'Special Help Table'!$A95)))&amp;" "&amp;MID('Special Help Table'!$A95,SEARCH("; ",'Special Help Table'!$A95)+2,SEARCH(",",'Special Help Table'!$A95,SEARCH(";",'Special Help Table'!$A95))-SEARCH(";",'Special Help Table'!$A95)-2),AND(LEN('Special Help Table'!$A95)-LEN(SUBSTITUTE('Special Help Table'!$A95,"and ",""))=0,LEN('Special Help Table'!$A95)-LEN(SUBSTITUTE('Special Help Table'!$A95,";",""))=0),'Special Help Table'!$A95,AND(LEN('Special Help Table'!$A95)-LEN(SUBSTITUTE('Special Help Table'!$A95,",","")=1),LEN('Special Help Table'!$A95)-LEN(SUBSTITUTE('Special Help Table'!$A95," ","")=20),LEN('Special Help Table'!$A95)-LEN(SUBSTITUTE('Special Help Table'!$A95," and",""))=0,LEN('Special Help Table'!$A95)-LEN(SUBSTITUTE('Special Help Table'!$A95,",","",FIND(" ",'Special Help Table'!$A95)+1))=0),RIGHT('Special Help Table'!$A95,LEN('Special Help Table'!$A95)-FIND(", ",'Special Help Table'!$A95))&amp;" "&amp;LEFT('Special Help Table'!$A95,FIND(",",'Special Help Table'!$A95)-1),AND(LEN('Special Help Table'!$A95)-LEN(SUBSTITUTE('Special Help Table'!$A95,"editor",""))=6,LEN('Special Help Table'!$A95)-LEN(SUBSTITUTE('Special Help Table'!$A95,"(",""))=0,LEN('Special Help Table'!$A95)-LEN(SUBSTITUTE('Special Help Table'!$A95,"and",""))=3,LEN('Special Help Table'!$A95)-LEN(SUBSTITUTE('Special Help Table'!$A95,",",""))=1,LEN('Special Help Table'!$A95)-LEN(SUBSTITUTE('Special Help Table'!$A95," ",""))=3),'Special Help Table'!$A95)</f>
        <v xml:space="preserve"> Rosaria Butterfield</v>
      </c>
      <c r="C95" s="4" t="s">
        <v>222</v>
      </c>
      <c r="D95" s="2"/>
      <c r="E95" s="2" t="s">
        <v>16</v>
      </c>
      <c r="F95" s="2" t="s">
        <v>17</v>
      </c>
      <c r="G95" s="2"/>
      <c r="H95" s="2"/>
      <c r="I95" s="2"/>
      <c r="J95" s="2" t="s">
        <v>223</v>
      </c>
      <c r="K95" s="3"/>
      <c r="L95" s="2"/>
      <c r="M95" s="2"/>
      <c r="N95" s="2" t="s">
        <v>18</v>
      </c>
    </row>
    <row r="96" spans="1:14" ht="15.75" customHeight="1" x14ac:dyDescent="0.35">
      <c r="A96" s="2" t="s">
        <v>224</v>
      </c>
      <c r="B96" s="2" t="str" cm="1">
        <f t="array" ref="B96">_xlfn.IFS(AND(LEN('Special Help Table'!$A96)-(LEN(SUBSTITUTE('Special Help Table'!$A96,";","")))=0,LEN('Special Help Table'!$A96)-LEN(SUBSTITUTE('Special Help Table'!$A96,",",""))=1,LEN('Special Help Table'!$A96)-LEN(SUBSTITUTE('Special Help Table'!$A96,"and ",""))=0),MID('Special Help Table'!$A96&amp;" "&amp;'Special Help Table'!$A96,SEARCH(", ",'Special Help Table'!$A96)+1,LEN('Special Help Table'!$A96)),AND(LEN('Special Help Table'!$A96)-(LEN(SUBSTITUTE('Special Help Table'!$A96,";","")))=1,LEN('Special Help Table'!$A96)-LEN(SUBSTITUTE('Special Help Table'!$A96,"and ",""))=0),MID('Special Help Table'!$A96,SEARCH(",",'Special Help Table'!$A96)+1,(SEARCH(";",'Special Help Table'!$A96)-1)-SEARCH(",",'Special Help Table'!$A96))&amp;" "&amp;LEFT('Special Help Table'!$A96,SEARCH(",",'Special Help Table'!$A96)-1)&amp;";"&amp;RIGHT('Special Help Table'!$A96,LEN('Special Help Table'!$A96)-SEARCH(",",'Special Help Table'!$A96,SEARCH(";",'Special Help Table'!$A96)))&amp;" "&amp;MID('Special Help Table'!$A96,SEARCH("; ",'Special Help Table'!$A96)+2,SEARCH(",",'Special Help Table'!$A96,SEARCH(";",'Special Help Table'!$A96))-SEARCH(";",'Special Help Table'!$A96)-2),AND(LEN('Special Help Table'!$A96)-LEN(SUBSTITUTE('Special Help Table'!$A96,"and ",""))=0,LEN('Special Help Table'!$A96)-LEN(SUBSTITUTE('Special Help Table'!$A96,";",""))=0),'Special Help Table'!$A96,AND(LEN('Special Help Table'!$A96)-LEN(SUBSTITUTE('Special Help Table'!$A96,",","")=1),LEN('Special Help Table'!$A96)-LEN(SUBSTITUTE('Special Help Table'!$A96," ","")=20),LEN('Special Help Table'!$A96)-LEN(SUBSTITUTE('Special Help Table'!$A96," and",""))=0,LEN('Special Help Table'!$A96)-LEN(SUBSTITUTE('Special Help Table'!$A96,",","",FIND(" ",'Special Help Table'!$A96)+1))=0),RIGHT('Special Help Table'!$A96,LEN('Special Help Table'!$A96)-FIND(", ",'Special Help Table'!$A96))&amp;" "&amp;LEFT('Special Help Table'!$A96,FIND(",",'Special Help Table'!$A96)-1),AND(LEN('Special Help Table'!$A96)-LEN(SUBSTITUTE('Special Help Table'!$A96,"editor",""))=6,LEN('Special Help Table'!$A96)-LEN(SUBSTITUTE('Special Help Table'!$A96,"(",""))=0,LEN('Special Help Table'!$A96)-LEN(SUBSTITUTE('Special Help Table'!$A96,"and",""))=3,LEN('Special Help Table'!$A96)-LEN(SUBSTITUTE('Special Help Table'!$A96,",",""))=1,LEN('Special Help Table'!$A96)-LEN(SUBSTITUTE('Special Help Table'!$A96," ",""))=3),'Special Help Table'!$A96)</f>
        <v xml:space="preserve"> Rosaria  Butterfield</v>
      </c>
      <c r="C96" s="4" t="s">
        <v>225</v>
      </c>
      <c r="D96" s="2"/>
      <c r="E96" s="2" t="s">
        <v>16</v>
      </c>
      <c r="F96" s="2" t="s">
        <v>17</v>
      </c>
      <c r="G96" s="2"/>
      <c r="H96" s="2"/>
      <c r="I96" s="2"/>
      <c r="J96" s="2" t="s">
        <v>226</v>
      </c>
      <c r="K96" s="3">
        <v>42323</v>
      </c>
      <c r="L96" s="2"/>
      <c r="M96" s="2"/>
      <c r="N96" s="2" t="s">
        <v>18</v>
      </c>
    </row>
    <row r="97" spans="1:14" ht="15.75" customHeight="1" x14ac:dyDescent="0.35">
      <c r="A97" s="2" t="s">
        <v>224</v>
      </c>
      <c r="B97" s="2" t="str" cm="1">
        <f t="array" ref="B97">_xlfn.IFS(AND(LEN('Special Help Table'!$A97)-(LEN(SUBSTITUTE('Special Help Table'!$A97,";","")))=0,LEN('Special Help Table'!$A97)-LEN(SUBSTITUTE('Special Help Table'!$A97,",",""))=1,LEN('Special Help Table'!$A97)-LEN(SUBSTITUTE('Special Help Table'!$A97,"and ",""))=0),MID('Special Help Table'!$A97&amp;" "&amp;'Special Help Table'!$A97,SEARCH(", ",'Special Help Table'!$A97)+1,LEN('Special Help Table'!$A97)),AND(LEN('Special Help Table'!$A97)-(LEN(SUBSTITUTE('Special Help Table'!$A97,";","")))=1,LEN('Special Help Table'!$A97)-LEN(SUBSTITUTE('Special Help Table'!$A97,"and ",""))=0),MID('Special Help Table'!$A97,SEARCH(",",'Special Help Table'!$A97)+1,(SEARCH(";",'Special Help Table'!$A97)-1)-SEARCH(",",'Special Help Table'!$A97))&amp;" "&amp;LEFT('Special Help Table'!$A97,SEARCH(",",'Special Help Table'!$A97)-1)&amp;";"&amp;RIGHT('Special Help Table'!$A97,LEN('Special Help Table'!$A97)-SEARCH(",",'Special Help Table'!$A97,SEARCH(";",'Special Help Table'!$A97)))&amp;" "&amp;MID('Special Help Table'!$A97,SEARCH("; ",'Special Help Table'!$A97)+2,SEARCH(",",'Special Help Table'!$A97,SEARCH(";",'Special Help Table'!$A97))-SEARCH(";",'Special Help Table'!$A97)-2),AND(LEN('Special Help Table'!$A97)-LEN(SUBSTITUTE('Special Help Table'!$A97,"and ",""))=0,LEN('Special Help Table'!$A97)-LEN(SUBSTITUTE('Special Help Table'!$A97,";",""))=0),'Special Help Table'!$A97,AND(LEN('Special Help Table'!$A97)-LEN(SUBSTITUTE('Special Help Table'!$A97,",","")=1),LEN('Special Help Table'!$A97)-LEN(SUBSTITUTE('Special Help Table'!$A97," ","")=20),LEN('Special Help Table'!$A97)-LEN(SUBSTITUTE('Special Help Table'!$A97," and",""))=0,LEN('Special Help Table'!$A97)-LEN(SUBSTITUTE('Special Help Table'!$A97,",","",FIND(" ",'Special Help Table'!$A97)+1))=0),RIGHT('Special Help Table'!$A97,LEN('Special Help Table'!$A97)-FIND(", ",'Special Help Table'!$A97))&amp;" "&amp;LEFT('Special Help Table'!$A97,FIND(",",'Special Help Table'!$A97)-1),AND(LEN('Special Help Table'!$A97)-LEN(SUBSTITUTE('Special Help Table'!$A97,"editor",""))=6,LEN('Special Help Table'!$A97)-LEN(SUBSTITUTE('Special Help Table'!$A97,"(",""))=0,LEN('Special Help Table'!$A97)-LEN(SUBSTITUTE('Special Help Table'!$A97,"and",""))=3,LEN('Special Help Table'!$A97)-LEN(SUBSTITUTE('Special Help Table'!$A97,",",""))=1,LEN('Special Help Table'!$A97)-LEN(SUBSTITUTE('Special Help Table'!$A97," ",""))=3),'Special Help Table'!$A97)</f>
        <v xml:space="preserve"> Rosaria  Butterfield</v>
      </c>
      <c r="C97" s="4" t="s">
        <v>227</v>
      </c>
      <c r="D97" s="2"/>
      <c r="E97" s="2" t="s">
        <v>16</v>
      </c>
      <c r="F97" s="2" t="s">
        <v>17</v>
      </c>
      <c r="G97" s="2"/>
      <c r="H97" s="2"/>
      <c r="I97" s="2"/>
      <c r="J97" s="2" t="s">
        <v>142</v>
      </c>
      <c r="K97" s="3">
        <v>41804</v>
      </c>
      <c r="L97" s="2"/>
      <c r="M97" s="2"/>
      <c r="N97" s="2" t="s">
        <v>18</v>
      </c>
    </row>
    <row r="98" spans="1:14" ht="15.75" customHeight="1" x14ac:dyDescent="0.35">
      <c r="A98" s="2" t="s">
        <v>228</v>
      </c>
      <c r="B98" s="2" t="str" cm="1">
        <f t="array" ref="B98">_xlfn.IFS(AND(LEN('Special Help Table'!$A98)-(LEN(SUBSTITUTE('Special Help Table'!$A98,";","")))=0,LEN('Special Help Table'!$A98)-LEN(SUBSTITUTE('Special Help Table'!$A98,",",""))=1,LEN('Special Help Table'!$A98)-LEN(SUBSTITUTE('Special Help Table'!$A98,"and ",""))=0),MID('Special Help Table'!$A98&amp;" "&amp;'Special Help Table'!$A98,SEARCH(", ",'Special Help Table'!$A98)+1,LEN('Special Help Table'!$A98)),AND(LEN('Special Help Table'!$A98)-(LEN(SUBSTITUTE('Special Help Table'!$A98,";","")))=1,LEN('Special Help Table'!$A98)-LEN(SUBSTITUTE('Special Help Table'!$A98,"and ",""))=0),MID('Special Help Table'!$A98,SEARCH(",",'Special Help Table'!$A98)+1,(SEARCH(";",'Special Help Table'!$A98)-1)-SEARCH(",",'Special Help Table'!$A98))&amp;" "&amp;LEFT('Special Help Table'!$A98,SEARCH(",",'Special Help Table'!$A98)-1)&amp;";"&amp;RIGHT('Special Help Table'!$A98,LEN('Special Help Table'!$A98)-SEARCH(",",'Special Help Table'!$A98,SEARCH(";",'Special Help Table'!$A98)))&amp;" "&amp;MID('Special Help Table'!$A98,SEARCH("; ",'Special Help Table'!$A98)+2,SEARCH(",",'Special Help Table'!$A98,SEARCH(";",'Special Help Table'!$A98))-SEARCH(";",'Special Help Table'!$A98)-2),AND(LEN('Special Help Table'!$A98)-LEN(SUBSTITUTE('Special Help Table'!$A98,"and ",""))=0,LEN('Special Help Table'!$A98)-LEN(SUBSTITUTE('Special Help Table'!$A98,";",""))=0),'Special Help Table'!$A98,AND(LEN('Special Help Table'!$A98)-LEN(SUBSTITUTE('Special Help Table'!$A98,",","")=1),LEN('Special Help Table'!$A98)-LEN(SUBSTITUTE('Special Help Table'!$A98," ","")=20),LEN('Special Help Table'!$A98)-LEN(SUBSTITUTE('Special Help Table'!$A98," and",""))=0,LEN('Special Help Table'!$A98)-LEN(SUBSTITUTE('Special Help Table'!$A98,",","",FIND(" ",'Special Help Table'!$A98)+1))=0),RIGHT('Special Help Table'!$A98,LEN('Special Help Table'!$A98)-FIND(", ",'Special Help Table'!$A98))&amp;" "&amp;LEFT('Special Help Table'!$A98,FIND(",",'Special Help Table'!$A98)-1),AND(LEN('Special Help Table'!$A98)-LEN(SUBSTITUTE('Special Help Table'!$A98,"editor",""))=6,LEN('Special Help Table'!$A98)-LEN(SUBSTITUTE('Special Help Table'!$A98,"(",""))=0,LEN('Special Help Table'!$A98)-LEN(SUBSTITUTE('Special Help Table'!$A98,"and",""))=3,LEN('Special Help Table'!$A98)-LEN(SUBSTITUTE('Special Help Table'!$A98,",",""))=1,LEN('Special Help Table'!$A98)-LEN(SUBSTITUTE('Special Help Table'!$A98," ",""))=3),'Special Help Table'!$A98)</f>
        <v xml:space="preserve"> Aimee Byrd</v>
      </c>
      <c r="C98" s="4" t="s">
        <v>229</v>
      </c>
      <c r="D98" s="2"/>
      <c r="E98" s="2" t="s">
        <v>16</v>
      </c>
      <c r="F98" s="2" t="s">
        <v>33</v>
      </c>
      <c r="G98" s="2"/>
      <c r="H98" s="2"/>
      <c r="I98" s="2"/>
      <c r="J98" s="2" t="s">
        <v>230</v>
      </c>
      <c r="K98" s="3">
        <v>42884</v>
      </c>
      <c r="L98" s="2"/>
      <c r="M98" s="2"/>
      <c r="N98" s="2" t="s">
        <v>18</v>
      </c>
    </row>
    <row r="99" spans="1:14" ht="15.75" customHeight="1" x14ac:dyDescent="0.35">
      <c r="A99" s="2" t="s">
        <v>228</v>
      </c>
      <c r="B99" s="2" t="str" cm="1">
        <f t="array" ref="B99">_xlfn.IFS(AND(LEN('Special Help Table'!$A99)-(LEN(SUBSTITUTE('Special Help Table'!$A99,";","")))=0,LEN('Special Help Table'!$A99)-LEN(SUBSTITUTE('Special Help Table'!$A99,",",""))=1,LEN('Special Help Table'!$A99)-LEN(SUBSTITUTE('Special Help Table'!$A99,"and ",""))=0),MID('Special Help Table'!$A99&amp;" "&amp;'Special Help Table'!$A99,SEARCH(", ",'Special Help Table'!$A99)+1,LEN('Special Help Table'!$A99)),AND(LEN('Special Help Table'!$A99)-(LEN(SUBSTITUTE('Special Help Table'!$A99,";","")))=1,LEN('Special Help Table'!$A99)-LEN(SUBSTITUTE('Special Help Table'!$A99,"and ",""))=0),MID('Special Help Table'!$A99,SEARCH(",",'Special Help Table'!$A99)+1,(SEARCH(";",'Special Help Table'!$A99)-1)-SEARCH(",",'Special Help Table'!$A99))&amp;" "&amp;LEFT('Special Help Table'!$A99,SEARCH(",",'Special Help Table'!$A99)-1)&amp;";"&amp;RIGHT('Special Help Table'!$A99,LEN('Special Help Table'!$A99)-SEARCH(",",'Special Help Table'!$A99,SEARCH(";",'Special Help Table'!$A99)))&amp;" "&amp;MID('Special Help Table'!$A99,SEARCH("; ",'Special Help Table'!$A99)+2,SEARCH(",",'Special Help Table'!$A99,SEARCH(";",'Special Help Table'!$A99))-SEARCH(";",'Special Help Table'!$A99)-2),AND(LEN('Special Help Table'!$A99)-LEN(SUBSTITUTE('Special Help Table'!$A99,"and ",""))=0,LEN('Special Help Table'!$A99)-LEN(SUBSTITUTE('Special Help Table'!$A99,";",""))=0),'Special Help Table'!$A99,AND(LEN('Special Help Table'!$A99)-LEN(SUBSTITUTE('Special Help Table'!$A99,",","")=1),LEN('Special Help Table'!$A99)-LEN(SUBSTITUTE('Special Help Table'!$A99," ","")=20),LEN('Special Help Table'!$A99)-LEN(SUBSTITUTE('Special Help Table'!$A99," and",""))=0,LEN('Special Help Table'!$A99)-LEN(SUBSTITUTE('Special Help Table'!$A99,",","",FIND(" ",'Special Help Table'!$A99)+1))=0),RIGHT('Special Help Table'!$A99,LEN('Special Help Table'!$A99)-FIND(", ",'Special Help Table'!$A99))&amp;" "&amp;LEFT('Special Help Table'!$A99,FIND(",",'Special Help Table'!$A99)-1),AND(LEN('Special Help Table'!$A99)-LEN(SUBSTITUTE('Special Help Table'!$A99,"editor",""))=6,LEN('Special Help Table'!$A99)-LEN(SUBSTITUTE('Special Help Table'!$A99,"(",""))=0,LEN('Special Help Table'!$A99)-LEN(SUBSTITUTE('Special Help Table'!$A99,"and",""))=3,LEN('Special Help Table'!$A99)-LEN(SUBSTITUTE('Special Help Table'!$A99,",",""))=1,LEN('Special Help Table'!$A99)-LEN(SUBSTITUTE('Special Help Table'!$A99," ",""))=3),'Special Help Table'!$A99)</f>
        <v xml:space="preserve"> Aimee Byrd</v>
      </c>
      <c r="C99" s="4" t="s">
        <v>231</v>
      </c>
      <c r="D99" s="2"/>
      <c r="E99" s="2" t="s">
        <v>16</v>
      </c>
      <c r="F99" s="2" t="s">
        <v>36</v>
      </c>
      <c r="G99" s="2"/>
      <c r="H99" s="2"/>
      <c r="I99" s="2"/>
      <c r="J99" s="2"/>
      <c r="K99" s="3"/>
      <c r="L99" s="2"/>
      <c r="M99" s="2"/>
      <c r="N99" s="2" t="s">
        <v>18</v>
      </c>
    </row>
    <row r="100" spans="1:14" ht="15.75" customHeight="1" x14ac:dyDescent="0.35">
      <c r="A100" s="2" t="s">
        <v>228</v>
      </c>
      <c r="B100" s="2" t="str" cm="1">
        <f t="array" ref="B100">_xlfn.IFS(AND(LEN('Special Help Table'!$A100)-(LEN(SUBSTITUTE('Special Help Table'!$A100,";","")))=0,LEN('Special Help Table'!$A100)-LEN(SUBSTITUTE('Special Help Table'!$A100,",",""))=1,LEN('Special Help Table'!$A100)-LEN(SUBSTITUTE('Special Help Table'!$A100,"and ",""))=0),MID('Special Help Table'!$A100&amp;" "&amp;'Special Help Table'!$A100,SEARCH(", ",'Special Help Table'!$A100)+1,LEN('Special Help Table'!$A100)),AND(LEN('Special Help Table'!$A100)-(LEN(SUBSTITUTE('Special Help Table'!$A100,";","")))=1,LEN('Special Help Table'!$A100)-LEN(SUBSTITUTE('Special Help Table'!$A100,"and ",""))=0),MID('Special Help Table'!$A100,SEARCH(",",'Special Help Table'!$A100)+1,(SEARCH(";",'Special Help Table'!$A100)-1)-SEARCH(",",'Special Help Table'!$A100))&amp;" "&amp;LEFT('Special Help Table'!$A100,SEARCH(",",'Special Help Table'!$A100)-1)&amp;";"&amp;RIGHT('Special Help Table'!$A100,LEN('Special Help Table'!$A100)-SEARCH(",",'Special Help Table'!$A100,SEARCH(";",'Special Help Table'!$A100)))&amp;" "&amp;MID('Special Help Table'!$A100,SEARCH("; ",'Special Help Table'!$A100)+2,SEARCH(",",'Special Help Table'!$A100,SEARCH(";",'Special Help Table'!$A100))-SEARCH(";",'Special Help Table'!$A100)-2),AND(LEN('Special Help Table'!$A100)-LEN(SUBSTITUTE('Special Help Table'!$A100,"and ",""))=0,LEN('Special Help Table'!$A100)-LEN(SUBSTITUTE('Special Help Table'!$A100,";",""))=0),'Special Help Table'!$A100,AND(LEN('Special Help Table'!$A100)-LEN(SUBSTITUTE('Special Help Table'!$A100,",","")=1),LEN('Special Help Table'!$A100)-LEN(SUBSTITUTE('Special Help Table'!$A100," ","")=20),LEN('Special Help Table'!$A100)-LEN(SUBSTITUTE('Special Help Table'!$A100," and",""))=0,LEN('Special Help Table'!$A100)-LEN(SUBSTITUTE('Special Help Table'!$A100,",","",FIND(" ",'Special Help Table'!$A100)+1))=0),RIGHT('Special Help Table'!$A100,LEN('Special Help Table'!$A100)-FIND(", ",'Special Help Table'!$A100))&amp;" "&amp;LEFT('Special Help Table'!$A100,FIND(",",'Special Help Table'!$A100)-1),AND(LEN('Special Help Table'!$A100)-LEN(SUBSTITUTE('Special Help Table'!$A100,"editor",""))=6,LEN('Special Help Table'!$A100)-LEN(SUBSTITUTE('Special Help Table'!$A100,"(",""))=0,LEN('Special Help Table'!$A100)-LEN(SUBSTITUTE('Special Help Table'!$A100,"and",""))=3,LEN('Special Help Table'!$A100)-LEN(SUBSTITUTE('Special Help Table'!$A100,",",""))=1,LEN('Special Help Table'!$A100)-LEN(SUBSTITUTE('Special Help Table'!$A100," ",""))=3),'Special Help Table'!$A100)</f>
        <v xml:space="preserve"> Aimee Byrd</v>
      </c>
      <c r="C100" s="4" t="s">
        <v>232</v>
      </c>
      <c r="D100" s="2"/>
      <c r="E100" s="2" t="s">
        <v>16</v>
      </c>
      <c r="F100" s="2" t="s">
        <v>17</v>
      </c>
      <c r="G100" s="2"/>
      <c r="H100" s="2"/>
      <c r="I100" s="2"/>
      <c r="J100" s="2" t="s">
        <v>233</v>
      </c>
      <c r="K100" s="3"/>
      <c r="L100" s="2"/>
      <c r="M100" s="2"/>
      <c r="N100" s="2" t="s">
        <v>18</v>
      </c>
    </row>
    <row r="101" spans="1:14" ht="15.75" customHeight="1" x14ac:dyDescent="0.35">
      <c r="A101" s="2" t="s">
        <v>234</v>
      </c>
      <c r="B101" s="2" t="str" cm="1">
        <f t="array" ref="B101">_xlfn.IFS(AND(LEN('Special Help Table'!$A101)-(LEN(SUBSTITUTE('Special Help Table'!$A101,";","")))=0,LEN('Special Help Table'!$A101)-LEN(SUBSTITUTE('Special Help Table'!$A101,",",""))=1,LEN('Special Help Table'!$A101)-LEN(SUBSTITUTE('Special Help Table'!$A101,"and ",""))=0),MID('Special Help Table'!$A101&amp;" "&amp;'Special Help Table'!$A101,SEARCH(", ",'Special Help Table'!$A101)+1,LEN('Special Help Table'!$A101)),AND(LEN('Special Help Table'!$A101)-(LEN(SUBSTITUTE('Special Help Table'!$A101,";","")))=1,LEN('Special Help Table'!$A101)-LEN(SUBSTITUTE('Special Help Table'!$A101,"and ",""))=0),MID('Special Help Table'!$A101,SEARCH(",",'Special Help Table'!$A101)+1,(SEARCH(";",'Special Help Table'!$A101)-1)-SEARCH(",",'Special Help Table'!$A101))&amp;" "&amp;LEFT('Special Help Table'!$A101,SEARCH(",",'Special Help Table'!$A101)-1)&amp;";"&amp;RIGHT('Special Help Table'!$A101,LEN('Special Help Table'!$A101)-SEARCH(",",'Special Help Table'!$A101,SEARCH(";",'Special Help Table'!$A101)))&amp;" "&amp;MID('Special Help Table'!$A101,SEARCH("; ",'Special Help Table'!$A101)+2,SEARCH(",",'Special Help Table'!$A101,SEARCH(";",'Special Help Table'!$A101))-SEARCH(";",'Special Help Table'!$A101)-2),AND(LEN('Special Help Table'!$A101)-LEN(SUBSTITUTE('Special Help Table'!$A101,"and ",""))=0,LEN('Special Help Table'!$A101)-LEN(SUBSTITUTE('Special Help Table'!$A101,";",""))=0),'Special Help Table'!$A101,AND(LEN('Special Help Table'!$A101)-LEN(SUBSTITUTE('Special Help Table'!$A101,",","")=1),LEN('Special Help Table'!$A101)-LEN(SUBSTITUTE('Special Help Table'!$A101," ","")=20),LEN('Special Help Table'!$A101)-LEN(SUBSTITUTE('Special Help Table'!$A101," and",""))=0,LEN('Special Help Table'!$A101)-LEN(SUBSTITUTE('Special Help Table'!$A101,",","",FIND(" ",'Special Help Table'!$A101)+1))=0),RIGHT('Special Help Table'!$A101,LEN('Special Help Table'!$A101)-FIND(", ",'Special Help Table'!$A101))&amp;" "&amp;LEFT('Special Help Table'!$A101,FIND(",",'Special Help Table'!$A101)-1),AND(LEN('Special Help Table'!$A101)-LEN(SUBSTITUTE('Special Help Table'!$A101,"editor",""))=6,LEN('Special Help Table'!$A101)-LEN(SUBSTITUTE('Special Help Table'!$A101,"(",""))=0,LEN('Special Help Table'!$A101)-LEN(SUBSTITUTE('Special Help Table'!$A101,"and",""))=3,LEN('Special Help Table'!$A101)-LEN(SUBSTITUTE('Special Help Table'!$A101,",",""))=1,LEN('Special Help Table'!$A101)-LEN(SUBSTITUTE('Special Help Table'!$A101," ",""))=3),'Special Help Table'!$A101)</f>
        <v xml:space="preserve"> Simon Camilleri</v>
      </c>
      <c r="C101" s="4" t="s">
        <v>235</v>
      </c>
      <c r="D101" s="2"/>
      <c r="E101" s="2" t="s">
        <v>16</v>
      </c>
      <c r="F101" s="2" t="s">
        <v>72</v>
      </c>
      <c r="G101" s="2"/>
      <c r="H101" s="2"/>
      <c r="I101" s="2"/>
      <c r="J101" s="2"/>
      <c r="K101" s="3"/>
      <c r="L101" s="2"/>
      <c r="M101" s="2"/>
      <c r="N101" s="2" t="s">
        <v>18</v>
      </c>
    </row>
    <row r="102" spans="1:14" ht="15.75" customHeight="1" x14ac:dyDescent="0.35">
      <c r="A102" s="2" t="s">
        <v>236</v>
      </c>
      <c r="B102" s="2" t="str" cm="1">
        <f t="array" ref="B102">_xlfn.IFS(AND(LEN('Special Help Table'!$A102)-(LEN(SUBSTITUTE('Special Help Table'!$A102,";","")))=0,LEN('Special Help Table'!$A102)-LEN(SUBSTITUTE('Special Help Table'!$A102,",",""))=1,LEN('Special Help Table'!$A102)-LEN(SUBSTITUTE('Special Help Table'!$A102,"and ",""))=0),MID('Special Help Table'!$A102&amp;" "&amp;'Special Help Table'!$A102,SEARCH(", ",'Special Help Table'!$A102)+1,LEN('Special Help Table'!$A102)),AND(LEN('Special Help Table'!$A102)-(LEN(SUBSTITUTE('Special Help Table'!$A102,";","")))=1,LEN('Special Help Table'!$A102)-LEN(SUBSTITUTE('Special Help Table'!$A102,"and ",""))=0),MID('Special Help Table'!$A102,SEARCH(",",'Special Help Table'!$A102)+1,(SEARCH(";",'Special Help Table'!$A102)-1)-SEARCH(",",'Special Help Table'!$A102))&amp;" "&amp;LEFT('Special Help Table'!$A102,SEARCH(",",'Special Help Table'!$A102)-1)&amp;";"&amp;RIGHT('Special Help Table'!$A102,LEN('Special Help Table'!$A102)-SEARCH(",",'Special Help Table'!$A102,SEARCH(";",'Special Help Table'!$A102)))&amp;" "&amp;MID('Special Help Table'!$A102,SEARCH("; ",'Special Help Table'!$A102)+2,SEARCH(",",'Special Help Table'!$A102,SEARCH(";",'Special Help Table'!$A102))-SEARCH(";",'Special Help Table'!$A102)-2),AND(LEN('Special Help Table'!$A102)-LEN(SUBSTITUTE('Special Help Table'!$A102,"and ",""))=0,LEN('Special Help Table'!$A102)-LEN(SUBSTITUTE('Special Help Table'!$A102,";",""))=0),'Special Help Table'!$A102,AND(LEN('Special Help Table'!$A102)-LEN(SUBSTITUTE('Special Help Table'!$A102,",","")=1),LEN('Special Help Table'!$A102)-LEN(SUBSTITUTE('Special Help Table'!$A102," ","")=20),LEN('Special Help Table'!$A102)-LEN(SUBSTITUTE('Special Help Table'!$A102," and",""))=0,LEN('Special Help Table'!$A102)-LEN(SUBSTITUTE('Special Help Table'!$A102,",","",FIND(" ",'Special Help Table'!$A102)+1))=0),RIGHT('Special Help Table'!$A102,LEN('Special Help Table'!$A102)-FIND(", ",'Special Help Table'!$A102))&amp;" "&amp;LEFT('Special Help Table'!$A102,FIND(",",'Special Help Table'!$A102)-1),AND(LEN('Special Help Table'!$A102)-LEN(SUBSTITUTE('Special Help Table'!$A102,"editor",""))=6,LEN('Special Help Table'!$A102)-LEN(SUBSTITUTE('Special Help Table'!$A102,"(",""))=0,LEN('Special Help Table'!$A102)-LEN(SUBSTITUTE('Special Help Table'!$A102,"and",""))=3,LEN('Special Help Table'!$A102)-LEN(SUBSTITUTE('Special Help Table'!$A102,",",""))=1,LEN('Special Help Table'!$A102)-LEN(SUBSTITUTE('Special Help Table'!$A102," ",""))=3),'Special Help Table'!$A102)</f>
        <v xml:space="preserve"> Ardel B Caneday; Thomas R. Schreiner</v>
      </c>
      <c r="C102" s="4" t="s">
        <v>237</v>
      </c>
      <c r="D102" s="2" t="s">
        <v>238</v>
      </c>
      <c r="E102" s="2" t="s">
        <v>16</v>
      </c>
      <c r="F102" s="2" t="s">
        <v>28</v>
      </c>
      <c r="G102" s="2"/>
      <c r="H102" s="2"/>
      <c r="I102" s="2"/>
      <c r="J102" s="2" t="s">
        <v>193</v>
      </c>
      <c r="K102" s="3">
        <v>40034</v>
      </c>
      <c r="L102" s="2"/>
      <c r="M102" s="2"/>
      <c r="N102" s="2" t="s">
        <v>18</v>
      </c>
    </row>
    <row r="103" spans="1:14" ht="15.75" customHeight="1" x14ac:dyDescent="0.35">
      <c r="A103" s="2" t="s">
        <v>239</v>
      </c>
      <c r="B103" s="2" t="str" cm="1">
        <f t="array" ref="B103">_xlfn.IFS(AND(LEN('Special Help Table'!$A103)-(LEN(SUBSTITUTE('Special Help Table'!$A103,";","")))=0,LEN('Special Help Table'!$A103)-LEN(SUBSTITUTE('Special Help Table'!$A103,",",""))=1,LEN('Special Help Table'!$A103)-LEN(SUBSTITUTE('Special Help Table'!$A103,"and ",""))=0),MID('Special Help Table'!$A103&amp;" "&amp;'Special Help Table'!$A103,SEARCH(", ",'Special Help Table'!$A103)+1,LEN('Special Help Table'!$A103)),AND(LEN('Special Help Table'!$A103)-(LEN(SUBSTITUTE('Special Help Table'!$A103,";","")))=1,LEN('Special Help Table'!$A103)-LEN(SUBSTITUTE('Special Help Table'!$A103,"and ",""))=0),MID('Special Help Table'!$A103,SEARCH(",",'Special Help Table'!$A103)+1,(SEARCH(";",'Special Help Table'!$A103)-1)-SEARCH(",",'Special Help Table'!$A103))&amp;" "&amp;LEFT('Special Help Table'!$A103,SEARCH(",",'Special Help Table'!$A103)-1)&amp;";"&amp;RIGHT('Special Help Table'!$A103,LEN('Special Help Table'!$A103)-SEARCH(",",'Special Help Table'!$A103,SEARCH(";",'Special Help Table'!$A103)))&amp;" "&amp;MID('Special Help Table'!$A103,SEARCH("; ",'Special Help Table'!$A103)+2,SEARCH(",",'Special Help Table'!$A103,SEARCH(";",'Special Help Table'!$A103))-SEARCH(";",'Special Help Table'!$A103)-2),AND(LEN('Special Help Table'!$A103)-LEN(SUBSTITUTE('Special Help Table'!$A103,"and ",""))=0,LEN('Special Help Table'!$A103)-LEN(SUBSTITUTE('Special Help Table'!$A103,";",""))=0),'Special Help Table'!$A103,AND(LEN('Special Help Table'!$A103)-LEN(SUBSTITUTE('Special Help Table'!$A103,",","")=1),LEN('Special Help Table'!$A103)-LEN(SUBSTITUTE('Special Help Table'!$A103," ","")=20),LEN('Special Help Table'!$A103)-LEN(SUBSTITUTE('Special Help Table'!$A103," and",""))=0,LEN('Special Help Table'!$A103)-LEN(SUBSTITUTE('Special Help Table'!$A103,",","",FIND(" ",'Special Help Table'!$A103)+1))=0),RIGHT('Special Help Table'!$A103,LEN('Special Help Table'!$A103)-FIND(", ",'Special Help Table'!$A103))&amp;" "&amp;LEFT('Special Help Table'!$A103,FIND(",",'Special Help Table'!$A103)-1),AND(LEN('Special Help Table'!$A103)-LEN(SUBSTITUTE('Special Help Table'!$A103,"editor",""))=6,LEN('Special Help Table'!$A103)-LEN(SUBSTITUTE('Special Help Table'!$A103,"(",""))=0,LEN('Special Help Table'!$A103)-LEN(SUBSTITUTE('Special Help Table'!$A103,"and",""))=3,LEN('Special Help Table'!$A103)-LEN(SUBSTITUTE('Special Help Table'!$A103,",",""))=1,LEN('Special Help Table'!$A103)-LEN(SUBSTITUTE('Special Help Table'!$A103," ",""))=3),'Special Help Table'!$A103)</f>
        <v xml:space="preserve"> Stephanie Carmichael</v>
      </c>
      <c r="C103" s="4" t="s">
        <v>240</v>
      </c>
      <c r="D103" s="2" t="s">
        <v>241</v>
      </c>
      <c r="E103" s="2" t="s">
        <v>16</v>
      </c>
      <c r="F103" s="2" t="s">
        <v>72</v>
      </c>
      <c r="G103" s="2"/>
      <c r="H103" s="2"/>
      <c r="I103" s="2"/>
      <c r="J103" s="2"/>
      <c r="K103" s="3">
        <v>41000</v>
      </c>
      <c r="L103" s="2"/>
      <c r="M103" s="2"/>
      <c r="N103" s="2" t="s">
        <v>18</v>
      </c>
    </row>
    <row r="104" spans="1:14" ht="15.75" customHeight="1" x14ac:dyDescent="0.35">
      <c r="A104" s="2" t="s">
        <v>239</v>
      </c>
      <c r="B104" s="2" t="str" cm="1">
        <f t="array" ref="B104">_xlfn.IFS(AND(LEN('Special Help Table'!$A104)-(LEN(SUBSTITUTE('Special Help Table'!$A104,";","")))=0,LEN('Special Help Table'!$A104)-LEN(SUBSTITUTE('Special Help Table'!$A104,",",""))=1,LEN('Special Help Table'!$A104)-LEN(SUBSTITUTE('Special Help Table'!$A104,"and ",""))=0),MID('Special Help Table'!$A104&amp;" "&amp;'Special Help Table'!$A104,SEARCH(", ",'Special Help Table'!$A104)+1,LEN('Special Help Table'!$A104)),AND(LEN('Special Help Table'!$A104)-(LEN(SUBSTITUTE('Special Help Table'!$A104,";","")))=1,LEN('Special Help Table'!$A104)-LEN(SUBSTITUTE('Special Help Table'!$A104,"and ",""))=0),MID('Special Help Table'!$A104,SEARCH(",",'Special Help Table'!$A104)+1,(SEARCH(";",'Special Help Table'!$A104)-1)-SEARCH(",",'Special Help Table'!$A104))&amp;" "&amp;LEFT('Special Help Table'!$A104,SEARCH(",",'Special Help Table'!$A104)-1)&amp;";"&amp;RIGHT('Special Help Table'!$A104,LEN('Special Help Table'!$A104)-SEARCH(",",'Special Help Table'!$A104,SEARCH(";",'Special Help Table'!$A104)))&amp;" "&amp;MID('Special Help Table'!$A104,SEARCH("; ",'Special Help Table'!$A104)+2,SEARCH(",",'Special Help Table'!$A104,SEARCH(";",'Special Help Table'!$A104))-SEARCH(";",'Special Help Table'!$A104)-2),AND(LEN('Special Help Table'!$A104)-LEN(SUBSTITUTE('Special Help Table'!$A104,"and ",""))=0,LEN('Special Help Table'!$A104)-LEN(SUBSTITUTE('Special Help Table'!$A104,";",""))=0),'Special Help Table'!$A104,AND(LEN('Special Help Table'!$A104)-LEN(SUBSTITUTE('Special Help Table'!$A104,",","")=1),LEN('Special Help Table'!$A104)-LEN(SUBSTITUTE('Special Help Table'!$A104," ","")=20),LEN('Special Help Table'!$A104)-LEN(SUBSTITUTE('Special Help Table'!$A104," and",""))=0,LEN('Special Help Table'!$A104)-LEN(SUBSTITUTE('Special Help Table'!$A104,",","",FIND(" ",'Special Help Table'!$A104)+1))=0),RIGHT('Special Help Table'!$A104,LEN('Special Help Table'!$A104)-FIND(", ",'Special Help Table'!$A104))&amp;" "&amp;LEFT('Special Help Table'!$A104,FIND(",",'Special Help Table'!$A104)-1),AND(LEN('Special Help Table'!$A104)-LEN(SUBSTITUTE('Special Help Table'!$A104,"editor",""))=6,LEN('Special Help Table'!$A104)-LEN(SUBSTITUTE('Special Help Table'!$A104,"(",""))=0,LEN('Special Help Table'!$A104)-LEN(SUBSTITUTE('Special Help Table'!$A104,"and",""))=3,LEN('Special Help Table'!$A104)-LEN(SUBSTITUTE('Special Help Table'!$A104,",",""))=1,LEN('Special Help Table'!$A104)-LEN(SUBSTITUTE('Special Help Table'!$A104," ",""))=3),'Special Help Table'!$A104)</f>
        <v xml:space="preserve"> Stephanie Carmichael</v>
      </c>
      <c r="C104" s="4" t="s">
        <v>242</v>
      </c>
      <c r="D104" s="2" t="s">
        <v>241</v>
      </c>
      <c r="E104" s="2" t="s">
        <v>16</v>
      </c>
      <c r="F104" s="2" t="s">
        <v>72</v>
      </c>
      <c r="G104" s="2"/>
      <c r="H104" s="2"/>
      <c r="I104" s="2"/>
      <c r="J104" s="2"/>
      <c r="K104" s="3">
        <v>41000</v>
      </c>
      <c r="L104" s="2"/>
      <c r="M104" s="2"/>
      <c r="N104" s="2" t="s">
        <v>18</v>
      </c>
    </row>
    <row r="105" spans="1:14" ht="15.75" customHeight="1" x14ac:dyDescent="0.35">
      <c r="A105" s="2" t="s">
        <v>243</v>
      </c>
      <c r="B105" s="2" t="str" cm="1">
        <f t="array" ref="B105">_xlfn.IFS(AND(LEN('Special Help Table'!$A105)-(LEN(SUBSTITUTE('Special Help Table'!$A105,";","")))=0,LEN('Special Help Table'!$A105)-LEN(SUBSTITUTE('Special Help Table'!$A105,",",""))=1,LEN('Special Help Table'!$A105)-LEN(SUBSTITUTE('Special Help Table'!$A105,"and ",""))=0),MID('Special Help Table'!$A105&amp;" "&amp;'Special Help Table'!$A105,SEARCH(", ",'Special Help Table'!$A105)+1,LEN('Special Help Table'!$A105)),AND(LEN('Special Help Table'!$A105)-(LEN(SUBSTITUTE('Special Help Table'!$A105,";","")))=1,LEN('Special Help Table'!$A105)-LEN(SUBSTITUTE('Special Help Table'!$A105,"and ",""))=0),MID('Special Help Table'!$A105,SEARCH(",",'Special Help Table'!$A105)+1,(SEARCH(";",'Special Help Table'!$A105)-1)-SEARCH(",",'Special Help Table'!$A105))&amp;" "&amp;LEFT('Special Help Table'!$A105,SEARCH(",",'Special Help Table'!$A105)-1)&amp;";"&amp;RIGHT('Special Help Table'!$A105,LEN('Special Help Table'!$A105)-SEARCH(",",'Special Help Table'!$A105,SEARCH(";",'Special Help Table'!$A105)))&amp;" "&amp;MID('Special Help Table'!$A105,SEARCH("; ",'Special Help Table'!$A105)+2,SEARCH(",",'Special Help Table'!$A105,SEARCH(";",'Special Help Table'!$A105))-SEARCH(";",'Special Help Table'!$A105)-2),AND(LEN('Special Help Table'!$A105)-LEN(SUBSTITUTE('Special Help Table'!$A105,"and ",""))=0,LEN('Special Help Table'!$A105)-LEN(SUBSTITUTE('Special Help Table'!$A105,";",""))=0),'Special Help Table'!$A105,AND(LEN('Special Help Table'!$A105)-LEN(SUBSTITUTE('Special Help Table'!$A105,",","")=1),LEN('Special Help Table'!$A105)-LEN(SUBSTITUTE('Special Help Table'!$A105," ","")=20),LEN('Special Help Table'!$A105)-LEN(SUBSTITUTE('Special Help Table'!$A105," and",""))=0,LEN('Special Help Table'!$A105)-LEN(SUBSTITUTE('Special Help Table'!$A105,",","",FIND(" ",'Special Help Table'!$A105)+1))=0),RIGHT('Special Help Table'!$A105,LEN('Special Help Table'!$A105)-FIND(", ",'Special Help Table'!$A105))&amp;" "&amp;LEFT('Special Help Table'!$A105,FIND(",",'Special Help Table'!$A105)-1),AND(LEN('Special Help Table'!$A105)-LEN(SUBSTITUTE('Special Help Table'!$A105,"editor",""))=6,LEN('Special Help Table'!$A105)-LEN(SUBSTITUTE('Special Help Table'!$A105,"(",""))=0,LEN('Special Help Table'!$A105)-LEN(SUBSTITUTE('Special Help Table'!$A105,"and",""))=3,LEN('Special Help Table'!$A105)-LEN(SUBSTITUTE('Special Help Table'!$A105,",",""))=1,LEN('Special Help Table'!$A105)-LEN(SUBSTITUTE('Special Help Table'!$A105," ",""))=3),'Special Help Table'!$A105)</f>
        <v xml:space="preserve"> Simonetta Carr</v>
      </c>
      <c r="C105" s="4" t="s">
        <v>244</v>
      </c>
      <c r="D105" s="2"/>
      <c r="E105" s="2" t="s">
        <v>16</v>
      </c>
      <c r="F105" s="2" t="s">
        <v>72</v>
      </c>
      <c r="G105" s="2"/>
      <c r="H105" s="2"/>
      <c r="I105" s="2"/>
      <c r="J105" s="2"/>
      <c r="K105" s="3">
        <v>41011</v>
      </c>
      <c r="L105" s="2"/>
      <c r="M105" s="2"/>
      <c r="N105" s="2" t="s">
        <v>18</v>
      </c>
    </row>
    <row r="106" spans="1:14" ht="15.75" customHeight="1" x14ac:dyDescent="0.35">
      <c r="A106" s="2" t="s">
        <v>243</v>
      </c>
      <c r="B106" s="2" t="str" cm="1">
        <f t="array" ref="B106">_xlfn.IFS(AND(LEN('Special Help Table'!$A106)-(LEN(SUBSTITUTE('Special Help Table'!$A106,";","")))=0,LEN('Special Help Table'!$A106)-LEN(SUBSTITUTE('Special Help Table'!$A106,",",""))=1,LEN('Special Help Table'!$A106)-LEN(SUBSTITUTE('Special Help Table'!$A106,"and ",""))=0),MID('Special Help Table'!$A106&amp;" "&amp;'Special Help Table'!$A106,SEARCH(", ",'Special Help Table'!$A106)+1,LEN('Special Help Table'!$A106)),AND(LEN('Special Help Table'!$A106)-(LEN(SUBSTITUTE('Special Help Table'!$A106,";","")))=1,LEN('Special Help Table'!$A106)-LEN(SUBSTITUTE('Special Help Table'!$A106,"and ",""))=0),MID('Special Help Table'!$A106,SEARCH(",",'Special Help Table'!$A106)+1,(SEARCH(";",'Special Help Table'!$A106)-1)-SEARCH(",",'Special Help Table'!$A106))&amp;" "&amp;LEFT('Special Help Table'!$A106,SEARCH(",",'Special Help Table'!$A106)-1)&amp;";"&amp;RIGHT('Special Help Table'!$A106,LEN('Special Help Table'!$A106)-SEARCH(",",'Special Help Table'!$A106,SEARCH(";",'Special Help Table'!$A106)))&amp;" "&amp;MID('Special Help Table'!$A106,SEARCH("; ",'Special Help Table'!$A106)+2,SEARCH(",",'Special Help Table'!$A106,SEARCH(";",'Special Help Table'!$A106))-SEARCH(";",'Special Help Table'!$A106)-2),AND(LEN('Special Help Table'!$A106)-LEN(SUBSTITUTE('Special Help Table'!$A106,"and ",""))=0,LEN('Special Help Table'!$A106)-LEN(SUBSTITUTE('Special Help Table'!$A106,";",""))=0),'Special Help Table'!$A106,AND(LEN('Special Help Table'!$A106)-LEN(SUBSTITUTE('Special Help Table'!$A106,",","")=1),LEN('Special Help Table'!$A106)-LEN(SUBSTITUTE('Special Help Table'!$A106," ","")=20),LEN('Special Help Table'!$A106)-LEN(SUBSTITUTE('Special Help Table'!$A106," and",""))=0,LEN('Special Help Table'!$A106)-LEN(SUBSTITUTE('Special Help Table'!$A106,",","",FIND(" ",'Special Help Table'!$A106)+1))=0),RIGHT('Special Help Table'!$A106,LEN('Special Help Table'!$A106)-FIND(", ",'Special Help Table'!$A106))&amp;" "&amp;LEFT('Special Help Table'!$A106,FIND(",",'Special Help Table'!$A106)-1),AND(LEN('Special Help Table'!$A106)-LEN(SUBSTITUTE('Special Help Table'!$A106,"editor",""))=6,LEN('Special Help Table'!$A106)-LEN(SUBSTITUTE('Special Help Table'!$A106,"(",""))=0,LEN('Special Help Table'!$A106)-LEN(SUBSTITUTE('Special Help Table'!$A106,"and",""))=3,LEN('Special Help Table'!$A106)-LEN(SUBSTITUTE('Special Help Table'!$A106,",",""))=1,LEN('Special Help Table'!$A106)-LEN(SUBSTITUTE('Special Help Table'!$A106," ",""))=3),'Special Help Table'!$A106)</f>
        <v xml:space="preserve"> Simonetta Carr</v>
      </c>
      <c r="C106" s="4" t="s">
        <v>245</v>
      </c>
      <c r="D106" s="2"/>
      <c r="E106" s="2" t="s">
        <v>16</v>
      </c>
      <c r="F106" s="2" t="s">
        <v>72</v>
      </c>
      <c r="G106" s="2"/>
      <c r="H106" s="2"/>
      <c r="I106" s="2"/>
      <c r="J106" s="2"/>
      <c r="K106" s="3">
        <v>41011</v>
      </c>
      <c r="L106" s="2"/>
      <c r="M106" s="2"/>
      <c r="N106" s="2" t="s">
        <v>18</v>
      </c>
    </row>
    <row r="107" spans="1:14" ht="15.75" customHeight="1" x14ac:dyDescent="0.35">
      <c r="A107" s="2" t="s">
        <v>243</v>
      </c>
      <c r="B107" s="2" t="str" cm="1">
        <f t="array" ref="B107">_xlfn.IFS(AND(LEN('Special Help Table'!$A107)-(LEN(SUBSTITUTE('Special Help Table'!$A107,";","")))=0,LEN('Special Help Table'!$A107)-LEN(SUBSTITUTE('Special Help Table'!$A107,",",""))=1,LEN('Special Help Table'!$A107)-LEN(SUBSTITUTE('Special Help Table'!$A107,"and ",""))=0),MID('Special Help Table'!$A107&amp;" "&amp;'Special Help Table'!$A107,SEARCH(", ",'Special Help Table'!$A107)+1,LEN('Special Help Table'!$A107)),AND(LEN('Special Help Table'!$A107)-(LEN(SUBSTITUTE('Special Help Table'!$A107,";","")))=1,LEN('Special Help Table'!$A107)-LEN(SUBSTITUTE('Special Help Table'!$A107,"and ",""))=0),MID('Special Help Table'!$A107,SEARCH(",",'Special Help Table'!$A107)+1,(SEARCH(";",'Special Help Table'!$A107)-1)-SEARCH(",",'Special Help Table'!$A107))&amp;" "&amp;LEFT('Special Help Table'!$A107,SEARCH(",",'Special Help Table'!$A107)-1)&amp;";"&amp;RIGHT('Special Help Table'!$A107,LEN('Special Help Table'!$A107)-SEARCH(",",'Special Help Table'!$A107,SEARCH(";",'Special Help Table'!$A107)))&amp;" "&amp;MID('Special Help Table'!$A107,SEARCH("; ",'Special Help Table'!$A107)+2,SEARCH(",",'Special Help Table'!$A107,SEARCH(";",'Special Help Table'!$A107))-SEARCH(";",'Special Help Table'!$A107)-2),AND(LEN('Special Help Table'!$A107)-LEN(SUBSTITUTE('Special Help Table'!$A107,"and ",""))=0,LEN('Special Help Table'!$A107)-LEN(SUBSTITUTE('Special Help Table'!$A107,";",""))=0),'Special Help Table'!$A107,AND(LEN('Special Help Table'!$A107)-LEN(SUBSTITUTE('Special Help Table'!$A107,",","")=1),LEN('Special Help Table'!$A107)-LEN(SUBSTITUTE('Special Help Table'!$A107," ","")=20),LEN('Special Help Table'!$A107)-LEN(SUBSTITUTE('Special Help Table'!$A107," and",""))=0,LEN('Special Help Table'!$A107)-LEN(SUBSTITUTE('Special Help Table'!$A107,",","",FIND(" ",'Special Help Table'!$A107)+1))=0),RIGHT('Special Help Table'!$A107,LEN('Special Help Table'!$A107)-FIND(", ",'Special Help Table'!$A107))&amp;" "&amp;LEFT('Special Help Table'!$A107,FIND(",",'Special Help Table'!$A107)-1),AND(LEN('Special Help Table'!$A107)-LEN(SUBSTITUTE('Special Help Table'!$A107,"editor",""))=6,LEN('Special Help Table'!$A107)-LEN(SUBSTITUTE('Special Help Table'!$A107,"(",""))=0,LEN('Special Help Table'!$A107)-LEN(SUBSTITUTE('Special Help Table'!$A107,"and",""))=3,LEN('Special Help Table'!$A107)-LEN(SUBSTITUTE('Special Help Table'!$A107,",",""))=1,LEN('Special Help Table'!$A107)-LEN(SUBSTITUTE('Special Help Table'!$A107," ",""))=3),'Special Help Table'!$A107)</f>
        <v xml:space="preserve"> Simonetta Carr</v>
      </c>
      <c r="C107" s="4" t="s">
        <v>246</v>
      </c>
      <c r="D107" s="2"/>
      <c r="E107" s="2" t="s">
        <v>16</v>
      </c>
      <c r="F107" s="2" t="s">
        <v>72</v>
      </c>
      <c r="G107" s="2"/>
      <c r="H107" s="2"/>
      <c r="I107" s="2"/>
      <c r="J107" s="2"/>
      <c r="K107" s="3">
        <v>41011</v>
      </c>
      <c r="L107" s="2"/>
      <c r="M107" s="2"/>
      <c r="N107" s="2" t="s">
        <v>18</v>
      </c>
    </row>
    <row r="108" spans="1:14" ht="15.75" customHeight="1" x14ac:dyDescent="0.35">
      <c r="A108" s="2" t="s">
        <v>243</v>
      </c>
      <c r="B108" s="2" t="str" cm="1">
        <f t="array" ref="B108">_xlfn.IFS(AND(LEN('Special Help Table'!$A108)-(LEN(SUBSTITUTE('Special Help Table'!$A108,";","")))=0,LEN('Special Help Table'!$A108)-LEN(SUBSTITUTE('Special Help Table'!$A108,",",""))=1,LEN('Special Help Table'!$A108)-LEN(SUBSTITUTE('Special Help Table'!$A108,"and ",""))=0),MID('Special Help Table'!$A108&amp;" "&amp;'Special Help Table'!$A108,SEARCH(", ",'Special Help Table'!$A108)+1,LEN('Special Help Table'!$A108)),AND(LEN('Special Help Table'!$A108)-(LEN(SUBSTITUTE('Special Help Table'!$A108,";","")))=1,LEN('Special Help Table'!$A108)-LEN(SUBSTITUTE('Special Help Table'!$A108,"and ",""))=0),MID('Special Help Table'!$A108,SEARCH(",",'Special Help Table'!$A108)+1,(SEARCH(";",'Special Help Table'!$A108)-1)-SEARCH(",",'Special Help Table'!$A108))&amp;" "&amp;LEFT('Special Help Table'!$A108,SEARCH(",",'Special Help Table'!$A108)-1)&amp;";"&amp;RIGHT('Special Help Table'!$A108,LEN('Special Help Table'!$A108)-SEARCH(",",'Special Help Table'!$A108,SEARCH(";",'Special Help Table'!$A108)))&amp;" "&amp;MID('Special Help Table'!$A108,SEARCH("; ",'Special Help Table'!$A108)+2,SEARCH(",",'Special Help Table'!$A108,SEARCH(";",'Special Help Table'!$A108))-SEARCH(";",'Special Help Table'!$A108)-2),AND(LEN('Special Help Table'!$A108)-LEN(SUBSTITUTE('Special Help Table'!$A108,"and ",""))=0,LEN('Special Help Table'!$A108)-LEN(SUBSTITUTE('Special Help Table'!$A108,";",""))=0),'Special Help Table'!$A108,AND(LEN('Special Help Table'!$A108)-LEN(SUBSTITUTE('Special Help Table'!$A108,",","")=1),LEN('Special Help Table'!$A108)-LEN(SUBSTITUTE('Special Help Table'!$A108," ","")=20),LEN('Special Help Table'!$A108)-LEN(SUBSTITUTE('Special Help Table'!$A108," and",""))=0,LEN('Special Help Table'!$A108)-LEN(SUBSTITUTE('Special Help Table'!$A108,",","",FIND(" ",'Special Help Table'!$A108)+1))=0),RIGHT('Special Help Table'!$A108,LEN('Special Help Table'!$A108)-FIND(", ",'Special Help Table'!$A108))&amp;" "&amp;LEFT('Special Help Table'!$A108,FIND(",",'Special Help Table'!$A108)-1),AND(LEN('Special Help Table'!$A108)-LEN(SUBSTITUTE('Special Help Table'!$A108,"editor",""))=6,LEN('Special Help Table'!$A108)-LEN(SUBSTITUTE('Special Help Table'!$A108,"(",""))=0,LEN('Special Help Table'!$A108)-LEN(SUBSTITUTE('Special Help Table'!$A108,"and",""))=3,LEN('Special Help Table'!$A108)-LEN(SUBSTITUTE('Special Help Table'!$A108,",",""))=1,LEN('Special Help Table'!$A108)-LEN(SUBSTITUTE('Special Help Table'!$A108," ",""))=3),'Special Help Table'!$A108)</f>
        <v xml:space="preserve"> Simonetta Carr</v>
      </c>
      <c r="C108" s="4" t="s">
        <v>247</v>
      </c>
      <c r="D108" s="2"/>
      <c r="E108" s="2" t="s">
        <v>16</v>
      </c>
      <c r="F108" s="2" t="s">
        <v>72</v>
      </c>
      <c r="G108" s="2"/>
      <c r="H108" s="2"/>
      <c r="I108" s="2"/>
      <c r="J108" s="2"/>
      <c r="K108" s="3">
        <v>41011</v>
      </c>
      <c r="L108" s="2"/>
      <c r="M108" s="2"/>
      <c r="N108" s="2" t="s">
        <v>18</v>
      </c>
    </row>
    <row r="109" spans="1:14" ht="15.75" customHeight="1" x14ac:dyDescent="0.35">
      <c r="A109" s="2" t="s">
        <v>243</v>
      </c>
      <c r="B109" s="2" t="str" cm="1">
        <f t="array" ref="B109">_xlfn.IFS(AND(LEN('Special Help Table'!$A109)-(LEN(SUBSTITUTE('Special Help Table'!$A109,";","")))=0,LEN('Special Help Table'!$A109)-LEN(SUBSTITUTE('Special Help Table'!$A109,",",""))=1,LEN('Special Help Table'!$A109)-LEN(SUBSTITUTE('Special Help Table'!$A109,"and ",""))=0),MID('Special Help Table'!$A109&amp;" "&amp;'Special Help Table'!$A109,SEARCH(", ",'Special Help Table'!$A109)+1,LEN('Special Help Table'!$A109)),AND(LEN('Special Help Table'!$A109)-(LEN(SUBSTITUTE('Special Help Table'!$A109,";","")))=1,LEN('Special Help Table'!$A109)-LEN(SUBSTITUTE('Special Help Table'!$A109,"and ",""))=0),MID('Special Help Table'!$A109,SEARCH(",",'Special Help Table'!$A109)+1,(SEARCH(";",'Special Help Table'!$A109)-1)-SEARCH(",",'Special Help Table'!$A109))&amp;" "&amp;LEFT('Special Help Table'!$A109,SEARCH(",",'Special Help Table'!$A109)-1)&amp;";"&amp;RIGHT('Special Help Table'!$A109,LEN('Special Help Table'!$A109)-SEARCH(",",'Special Help Table'!$A109,SEARCH(";",'Special Help Table'!$A109)))&amp;" "&amp;MID('Special Help Table'!$A109,SEARCH("; ",'Special Help Table'!$A109)+2,SEARCH(",",'Special Help Table'!$A109,SEARCH(";",'Special Help Table'!$A109))-SEARCH(";",'Special Help Table'!$A109)-2),AND(LEN('Special Help Table'!$A109)-LEN(SUBSTITUTE('Special Help Table'!$A109,"and ",""))=0,LEN('Special Help Table'!$A109)-LEN(SUBSTITUTE('Special Help Table'!$A109,";",""))=0),'Special Help Table'!$A109,AND(LEN('Special Help Table'!$A109)-LEN(SUBSTITUTE('Special Help Table'!$A109,",","")=1),LEN('Special Help Table'!$A109)-LEN(SUBSTITUTE('Special Help Table'!$A109," ","")=20),LEN('Special Help Table'!$A109)-LEN(SUBSTITUTE('Special Help Table'!$A109," and",""))=0,LEN('Special Help Table'!$A109)-LEN(SUBSTITUTE('Special Help Table'!$A109,",","",FIND(" ",'Special Help Table'!$A109)+1))=0),RIGHT('Special Help Table'!$A109,LEN('Special Help Table'!$A109)-FIND(", ",'Special Help Table'!$A109))&amp;" "&amp;LEFT('Special Help Table'!$A109,FIND(",",'Special Help Table'!$A109)-1),AND(LEN('Special Help Table'!$A109)-LEN(SUBSTITUTE('Special Help Table'!$A109,"editor",""))=6,LEN('Special Help Table'!$A109)-LEN(SUBSTITUTE('Special Help Table'!$A109,"(",""))=0,LEN('Special Help Table'!$A109)-LEN(SUBSTITUTE('Special Help Table'!$A109,"and",""))=3,LEN('Special Help Table'!$A109)-LEN(SUBSTITUTE('Special Help Table'!$A109,",",""))=1,LEN('Special Help Table'!$A109)-LEN(SUBSTITUTE('Special Help Table'!$A109," ",""))=3),'Special Help Table'!$A109)</f>
        <v xml:space="preserve"> Simonetta Carr</v>
      </c>
      <c r="C109" s="4" t="s">
        <v>248</v>
      </c>
      <c r="D109" s="2"/>
      <c r="E109" s="2" t="s">
        <v>16</v>
      </c>
      <c r="F109" s="2" t="s">
        <v>72</v>
      </c>
      <c r="G109" s="2"/>
      <c r="H109" s="2"/>
      <c r="I109" s="2"/>
      <c r="J109" s="2"/>
      <c r="K109" s="3">
        <v>41712</v>
      </c>
      <c r="L109" s="2"/>
      <c r="M109" s="2"/>
      <c r="N109" s="2" t="s">
        <v>18</v>
      </c>
    </row>
    <row r="110" spans="1:14" ht="15.75" customHeight="1" x14ac:dyDescent="0.35">
      <c r="A110" s="2" t="s">
        <v>243</v>
      </c>
      <c r="B110" s="2" t="str" cm="1">
        <f t="array" ref="B110">_xlfn.IFS(AND(LEN('Special Help Table'!$A110)-(LEN(SUBSTITUTE('Special Help Table'!$A110,";","")))=0,LEN('Special Help Table'!$A110)-LEN(SUBSTITUTE('Special Help Table'!$A110,",",""))=1,LEN('Special Help Table'!$A110)-LEN(SUBSTITUTE('Special Help Table'!$A110,"and ",""))=0),MID('Special Help Table'!$A110&amp;" "&amp;'Special Help Table'!$A110,SEARCH(", ",'Special Help Table'!$A110)+1,LEN('Special Help Table'!$A110)),AND(LEN('Special Help Table'!$A110)-(LEN(SUBSTITUTE('Special Help Table'!$A110,";","")))=1,LEN('Special Help Table'!$A110)-LEN(SUBSTITUTE('Special Help Table'!$A110,"and ",""))=0),MID('Special Help Table'!$A110,SEARCH(",",'Special Help Table'!$A110)+1,(SEARCH(";",'Special Help Table'!$A110)-1)-SEARCH(",",'Special Help Table'!$A110))&amp;" "&amp;LEFT('Special Help Table'!$A110,SEARCH(",",'Special Help Table'!$A110)-1)&amp;";"&amp;RIGHT('Special Help Table'!$A110,LEN('Special Help Table'!$A110)-SEARCH(",",'Special Help Table'!$A110,SEARCH(";",'Special Help Table'!$A110)))&amp;" "&amp;MID('Special Help Table'!$A110,SEARCH("; ",'Special Help Table'!$A110)+2,SEARCH(",",'Special Help Table'!$A110,SEARCH(";",'Special Help Table'!$A110))-SEARCH(";",'Special Help Table'!$A110)-2),AND(LEN('Special Help Table'!$A110)-LEN(SUBSTITUTE('Special Help Table'!$A110,"and ",""))=0,LEN('Special Help Table'!$A110)-LEN(SUBSTITUTE('Special Help Table'!$A110,";",""))=0),'Special Help Table'!$A110,AND(LEN('Special Help Table'!$A110)-LEN(SUBSTITUTE('Special Help Table'!$A110,",","")=1),LEN('Special Help Table'!$A110)-LEN(SUBSTITUTE('Special Help Table'!$A110," ","")=20),LEN('Special Help Table'!$A110)-LEN(SUBSTITUTE('Special Help Table'!$A110," and",""))=0,LEN('Special Help Table'!$A110)-LEN(SUBSTITUTE('Special Help Table'!$A110,",","",FIND(" ",'Special Help Table'!$A110)+1))=0),RIGHT('Special Help Table'!$A110,LEN('Special Help Table'!$A110)-FIND(", ",'Special Help Table'!$A110))&amp;" "&amp;LEFT('Special Help Table'!$A110,FIND(",",'Special Help Table'!$A110)-1),AND(LEN('Special Help Table'!$A110)-LEN(SUBSTITUTE('Special Help Table'!$A110,"editor",""))=6,LEN('Special Help Table'!$A110)-LEN(SUBSTITUTE('Special Help Table'!$A110,"(",""))=0,LEN('Special Help Table'!$A110)-LEN(SUBSTITUTE('Special Help Table'!$A110,"and",""))=3,LEN('Special Help Table'!$A110)-LEN(SUBSTITUTE('Special Help Table'!$A110,",",""))=1,LEN('Special Help Table'!$A110)-LEN(SUBSTITUTE('Special Help Table'!$A110," ",""))=3),'Special Help Table'!$A110)</f>
        <v xml:space="preserve"> Simonetta Carr</v>
      </c>
      <c r="C110" s="4" t="s">
        <v>249</v>
      </c>
      <c r="D110" s="2"/>
      <c r="E110" s="2" t="s">
        <v>16</v>
      </c>
      <c r="F110" s="2" t="s">
        <v>72</v>
      </c>
      <c r="G110" s="2"/>
      <c r="H110" s="2"/>
      <c r="I110" s="2"/>
      <c r="J110" s="2"/>
      <c r="K110" s="3">
        <v>43040</v>
      </c>
      <c r="L110" s="2"/>
      <c r="M110" s="2"/>
      <c r="N110" s="2" t="s">
        <v>18</v>
      </c>
    </row>
    <row r="111" spans="1:14" ht="15.75" customHeight="1" x14ac:dyDescent="0.35">
      <c r="A111" s="2" t="s">
        <v>243</v>
      </c>
      <c r="B111" s="2" t="str" cm="1">
        <f t="array" ref="B111">_xlfn.IFS(AND(LEN('Special Help Table'!$A111)-(LEN(SUBSTITUTE('Special Help Table'!$A111,";","")))=0,LEN('Special Help Table'!$A111)-LEN(SUBSTITUTE('Special Help Table'!$A111,",",""))=1,LEN('Special Help Table'!$A111)-LEN(SUBSTITUTE('Special Help Table'!$A111,"and ",""))=0),MID('Special Help Table'!$A111&amp;" "&amp;'Special Help Table'!$A111,SEARCH(", ",'Special Help Table'!$A111)+1,LEN('Special Help Table'!$A111)),AND(LEN('Special Help Table'!$A111)-(LEN(SUBSTITUTE('Special Help Table'!$A111,";","")))=1,LEN('Special Help Table'!$A111)-LEN(SUBSTITUTE('Special Help Table'!$A111,"and ",""))=0),MID('Special Help Table'!$A111,SEARCH(",",'Special Help Table'!$A111)+1,(SEARCH(";",'Special Help Table'!$A111)-1)-SEARCH(",",'Special Help Table'!$A111))&amp;" "&amp;LEFT('Special Help Table'!$A111,SEARCH(",",'Special Help Table'!$A111)-1)&amp;";"&amp;RIGHT('Special Help Table'!$A111,LEN('Special Help Table'!$A111)-SEARCH(",",'Special Help Table'!$A111,SEARCH(";",'Special Help Table'!$A111)))&amp;" "&amp;MID('Special Help Table'!$A111,SEARCH("; ",'Special Help Table'!$A111)+2,SEARCH(",",'Special Help Table'!$A111,SEARCH(";",'Special Help Table'!$A111))-SEARCH(";",'Special Help Table'!$A111)-2),AND(LEN('Special Help Table'!$A111)-LEN(SUBSTITUTE('Special Help Table'!$A111,"and ",""))=0,LEN('Special Help Table'!$A111)-LEN(SUBSTITUTE('Special Help Table'!$A111,";",""))=0),'Special Help Table'!$A111,AND(LEN('Special Help Table'!$A111)-LEN(SUBSTITUTE('Special Help Table'!$A111,",","")=1),LEN('Special Help Table'!$A111)-LEN(SUBSTITUTE('Special Help Table'!$A111," ","")=20),LEN('Special Help Table'!$A111)-LEN(SUBSTITUTE('Special Help Table'!$A111," and",""))=0,LEN('Special Help Table'!$A111)-LEN(SUBSTITUTE('Special Help Table'!$A111,",","",FIND(" ",'Special Help Table'!$A111)+1))=0),RIGHT('Special Help Table'!$A111,LEN('Special Help Table'!$A111)-FIND(", ",'Special Help Table'!$A111))&amp;" "&amp;LEFT('Special Help Table'!$A111,FIND(",",'Special Help Table'!$A111)-1),AND(LEN('Special Help Table'!$A111)-LEN(SUBSTITUTE('Special Help Table'!$A111,"editor",""))=6,LEN('Special Help Table'!$A111)-LEN(SUBSTITUTE('Special Help Table'!$A111,"(",""))=0,LEN('Special Help Table'!$A111)-LEN(SUBSTITUTE('Special Help Table'!$A111,"and",""))=3,LEN('Special Help Table'!$A111)-LEN(SUBSTITUTE('Special Help Table'!$A111,",",""))=1,LEN('Special Help Table'!$A111)-LEN(SUBSTITUTE('Special Help Table'!$A111," ",""))=3),'Special Help Table'!$A111)</f>
        <v xml:space="preserve"> Simonetta Carr</v>
      </c>
      <c r="C111" s="4" t="s">
        <v>250</v>
      </c>
      <c r="D111" s="2"/>
      <c r="E111" s="2" t="s">
        <v>16</v>
      </c>
      <c r="F111" s="2" t="s">
        <v>72</v>
      </c>
      <c r="G111" s="2"/>
      <c r="H111" s="2"/>
      <c r="I111" s="2"/>
      <c r="J111" s="2"/>
      <c r="K111" s="3">
        <v>41468</v>
      </c>
      <c r="L111" s="2"/>
      <c r="M111" s="2"/>
      <c r="N111" s="2" t="s">
        <v>18</v>
      </c>
    </row>
    <row r="112" spans="1:14" ht="15.75" customHeight="1" x14ac:dyDescent="0.35">
      <c r="A112" s="2" t="s">
        <v>251</v>
      </c>
      <c r="B112" s="2" t="str" cm="1">
        <f t="array" ref="B112">_xlfn.IFS(AND(LEN('Special Help Table'!$A112)-(LEN(SUBSTITUTE('Special Help Table'!$A112,";","")))=0,LEN('Special Help Table'!$A112)-LEN(SUBSTITUTE('Special Help Table'!$A112,",",""))=1,LEN('Special Help Table'!$A112)-LEN(SUBSTITUTE('Special Help Table'!$A112,"and ",""))=0),MID('Special Help Table'!$A112&amp;" "&amp;'Special Help Table'!$A112,SEARCH(", ",'Special Help Table'!$A112)+1,LEN('Special Help Table'!$A112)),AND(LEN('Special Help Table'!$A112)-(LEN(SUBSTITUTE('Special Help Table'!$A112,";","")))=1,LEN('Special Help Table'!$A112)-LEN(SUBSTITUTE('Special Help Table'!$A112,"and ",""))=0),MID('Special Help Table'!$A112,SEARCH(",",'Special Help Table'!$A112)+1,(SEARCH(";",'Special Help Table'!$A112)-1)-SEARCH(",",'Special Help Table'!$A112))&amp;" "&amp;LEFT('Special Help Table'!$A112,SEARCH(",",'Special Help Table'!$A112)-1)&amp;";"&amp;RIGHT('Special Help Table'!$A112,LEN('Special Help Table'!$A112)-SEARCH(",",'Special Help Table'!$A112,SEARCH(";",'Special Help Table'!$A112)))&amp;" "&amp;MID('Special Help Table'!$A112,SEARCH("; ",'Special Help Table'!$A112)+2,SEARCH(",",'Special Help Table'!$A112,SEARCH(";",'Special Help Table'!$A112))-SEARCH(";",'Special Help Table'!$A112)-2),AND(LEN('Special Help Table'!$A112)-LEN(SUBSTITUTE('Special Help Table'!$A112,"and ",""))=0,LEN('Special Help Table'!$A112)-LEN(SUBSTITUTE('Special Help Table'!$A112,";",""))=0),'Special Help Table'!$A112,AND(LEN('Special Help Table'!$A112)-LEN(SUBSTITUTE('Special Help Table'!$A112,",","")=1),LEN('Special Help Table'!$A112)-LEN(SUBSTITUTE('Special Help Table'!$A112," ","")=20),LEN('Special Help Table'!$A112)-LEN(SUBSTITUTE('Special Help Table'!$A112," and",""))=0,LEN('Special Help Table'!$A112)-LEN(SUBSTITUTE('Special Help Table'!$A112,",","",FIND(" ",'Special Help Table'!$A112)+1))=0),RIGHT('Special Help Table'!$A112,LEN('Special Help Table'!$A112)-FIND(", ",'Special Help Table'!$A112))&amp;" "&amp;LEFT('Special Help Table'!$A112,FIND(",",'Special Help Table'!$A112)-1),AND(LEN('Special Help Table'!$A112)-LEN(SUBSTITUTE('Special Help Table'!$A112,"editor",""))=6,LEN('Special Help Table'!$A112)-LEN(SUBSTITUTE('Special Help Table'!$A112,"(",""))=0,LEN('Special Help Table'!$A112)-LEN(SUBSTITUTE('Special Help Table'!$A112,"and",""))=3,LEN('Special Help Table'!$A112)-LEN(SUBSTITUTE('Special Help Table'!$A112,",",""))=1,LEN('Special Help Table'!$A112)-LEN(SUBSTITUTE('Special Help Table'!$A112," ",""))=3),'Special Help Table'!$A112)</f>
        <v xml:space="preserve"> D.A. Carson</v>
      </c>
      <c r="C112" s="4" t="s">
        <v>252</v>
      </c>
      <c r="D112" s="2"/>
      <c r="E112" s="2" t="s">
        <v>16</v>
      </c>
      <c r="F112" s="2" t="s">
        <v>33</v>
      </c>
      <c r="G112" s="2"/>
      <c r="H112" s="2"/>
      <c r="I112" s="2"/>
      <c r="J112" s="2"/>
      <c r="K112" s="3">
        <v>40247</v>
      </c>
      <c r="L112" s="2"/>
      <c r="M112" s="2"/>
      <c r="N112" s="2" t="s">
        <v>18</v>
      </c>
    </row>
    <row r="113" spans="1:14" ht="15.75" customHeight="1" x14ac:dyDescent="0.35">
      <c r="A113" s="2" t="s">
        <v>251</v>
      </c>
      <c r="B113" s="2" t="str" cm="1">
        <f t="array" ref="B113">_xlfn.IFS(AND(LEN('Special Help Table'!$A113)-(LEN(SUBSTITUTE('Special Help Table'!$A113,";","")))=0,LEN('Special Help Table'!$A113)-LEN(SUBSTITUTE('Special Help Table'!$A113,",",""))=1,LEN('Special Help Table'!$A113)-LEN(SUBSTITUTE('Special Help Table'!$A113,"and ",""))=0),MID('Special Help Table'!$A113&amp;" "&amp;'Special Help Table'!$A113,SEARCH(", ",'Special Help Table'!$A113)+1,LEN('Special Help Table'!$A113)),AND(LEN('Special Help Table'!$A113)-(LEN(SUBSTITUTE('Special Help Table'!$A113,";","")))=1,LEN('Special Help Table'!$A113)-LEN(SUBSTITUTE('Special Help Table'!$A113,"and ",""))=0),MID('Special Help Table'!$A113,SEARCH(",",'Special Help Table'!$A113)+1,(SEARCH(";",'Special Help Table'!$A113)-1)-SEARCH(",",'Special Help Table'!$A113))&amp;" "&amp;LEFT('Special Help Table'!$A113,SEARCH(",",'Special Help Table'!$A113)-1)&amp;";"&amp;RIGHT('Special Help Table'!$A113,LEN('Special Help Table'!$A113)-SEARCH(",",'Special Help Table'!$A113,SEARCH(";",'Special Help Table'!$A113)))&amp;" "&amp;MID('Special Help Table'!$A113,SEARCH("; ",'Special Help Table'!$A113)+2,SEARCH(",",'Special Help Table'!$A113,SEARCH(";",'Special Help Table'!$A113))-SEARCH(";",'Special Help Table'!$A113)-2),AND(LEN('Special Help Table'!$A113)-LEN(SUBSTITUTE('Special Help Table'!$A113,"and ",""))=0,LEN('Special Help Table'!$A113)-LEN(SUBSTITUTE('Special Help Table'!$A113,";",""))=0),'Special Help Table'!$A113,AND(LEN('Special Help Table'!$A113)-LEN(SUBSTITUTE('Special Help Table'!$A113,",","")=1),LEN('Special Help Table'!$A113)-LEN(SUBSTITUTE('Special Help Table'!$A113," ","")=20),LEN('Special Help Table'!$A113)-LEN(SUBSTITUTE('Special Help Table'!$A113," and",""))=0,LEN('Special Help Table'!$A113)-LEN(SUBSTITUTE('Special Help Table'!$A113,",","",FIND(" ",'Special Help Table'!$A113)+1))=0),RIGHT('Special Help Table'!$A113,LEN('Special Help Table'!$A113)-FIND(", ",'Special Help Table'!$A113))&amp;" "&amp;LEFT('Special Help Table'!$A113,FIND(",",'Special Help Table'!$A113)-1),AND(LEN('Special Help Table'!$A113)-LEN(SUBSTITUTE('Special Help Table'!$A113,"editor",""))=6,LEN('Special Help Table'!$A113)-LEN(SUBSTITUTE('Special Help Table'!$A113,"(",""))=0,LEN('Special Help Table'!$A113)-LEN(SUBSTITUTE('Special Help Table'!$A113,"and",""))=3,LEN('Special Help Table'!$A113)-LEN(SUBSTITUTE('Special Help Table'!$A113,",",""))=1,LEN('Special Help Table'!$A113)-LEN(SUBSTITUTE('Special Help Table'!$A113," ",""))=3),'Special Help Table'!$A113)</f>
        <v xml:space="preserve"> D.A. Carson</v>
      </c>
      <c r="C113" s="4" t="s">
        <v>253</v>
      </c>
      <c r="D113" s="2"/>
      <c r="E113" s="2" t="s">
        <v>16</v>
      </c>
      <c r="F113" s="2" t="s">
        <v>36</v>
      </c>
      <c r="G113" s="2"/>
      <c r="H113" s="2"/>
      <c r="I113" s="2"/>
      <c r="J113" s="2"/>
      <c r="K113" s="3">
        <v>40034</v>
      </c>
      <c r="L113" s="2"/>
      <c r="M113" s="2"/>
      <c r="N113" s="2" t="s">
        <v>18</v>
      </c>
    </row>
    <row r="114" spans="1:14" ht="15.75" customHeight="1" x14ac:dyDescent="0.35">
      <c r="A114" s="2" t="s">
        <v>251</v>
      </c>
      <c r="B114" s="2" t="str" cm="1">
        <f t="array" ref="B114">_xlfn.IFS(AND(LEN('Special Help Table'!$A114)-(LEN(SUBSTITUTE('Special Help Table'!$A114,";","")))=0,LEN('Special Help Table'!$A114)-LEN(SUBSTITUTE('Special Help Table'!$A114,",",""))=1,LEN('Special Help Table'!$A114)-LEN(SUBSTITUTE('Special Help Table'!$A114,"and ",""))=0),MID('Special Help Table'!$A114&amp;" "&amp;'Special Help Table'!$A114,SEARCH(", ",'Special Help Table'!$A114)+1,LEN('Special Help Table'!$A114)),AND(LEN('Special Help Table'!$A114)-(LEN(SUBSTITUTE('Special Help Table'!$A114,";","")))=1,LEN('Special Help Table'!$A114)-LEN(SUBSTITUTE('Special Help Table'!$A114,"and ",""))=0),MID('Special Help Table'!$A114,SEARCH(",",'Special Help Table'!$A114)+1,(SEARCH(";",'Special Help Table'!$A114)-1)-SEARCH(",",'Special Help Table'!$A114))&amp;" "&amp;LEFT('Special Help Table'!$A114,SEARCH(",",'Special Help Table'!$A114)-1)&amp;";"&amp;RIGHT('Special Help Table'!$A114,LEN('Special Help Table'!$A114)-SEARCH(",",'Special Help Table'!$A114,SEARCH(";",'Special Help Table'!$A114)))&amp;" "&amp;MID('Special Help Table'!$A114,SEARCH("; ",'Special Help Table'!$A114)+2,SEARCH(",",'Special Help Table'!$A114,SEARCH(";",'Special Help Table'!$A114))-SEARCH(";",'Special Help Table'!$A114)-2),AND(LEN('Special Help Table'!$A114)-LEN(SUBSTITUTE('Special Help Table'!$A114,"and ",""))=0,LEN('Special Help Table'!$A114)-LEN(SUBSTITUTE('Special Help Table'!$A114,";",""))=0),'Special Help Table'!$A114,AND(LEN('Special Help Table'!$A114)-LEN(SUBSTITUTE('Special Help Table'!$A114,",","")=1),LEN('Special Help Table'!$A114)-LEN(SUBSTITUTE('Special Help Table'!$A114," ","")=20),LEN('Special Help Table'!$A114)-LEN(SUBSTITUTE('Special Help Table'!$A114," and",""))=0,LEN('Special Help Table'!$A114)-LEN(SUBSTITUTE('Special Help Table'!$A114,",","",FIND(" ",'Special Help Table'!$A114)+1))=0),RIGHT('Special Help Table'!$A114,LEN('Special Help Table'!$A114)-FIND(", ",'Special Help Table'!$A114))&amp;" "&amp;LEFT('Special Help Table'!$A114,FIND(",",'Special Help Table'!$A114)-1),AND(LEN('Special Help Table'!$A114)-LEN(SUBSTITUTE('Special Help Table'!$A114,"editor",""))=6,LEN('Special Help Table'!$A114)-LEN(SUBSTITUTE('Special Help Table'!$A114,"(",""))=0,LEN('Special Help Table'!$A114)-LEN(SUBSTITUTE('Special Help Table'!$A114,"and",""))=3,LEN('Special Help Table'!$A114)-LEN(SUBSTITUTE('Special Help Table'!$A114,",",""))=1,LEN('Special Help Table'!$A114)-LEN(SUBSTITUTE('Special Help Table'!$A114," ",""))=3),'Special Help Table'!$A114)</f>
        <v xml:space="preserve"> D.A. Carson</v>
      </c>
      <c r="C114" s="4" t="s">
        <v>254</v>
      </c>
      <c r="D114" s="2"/>
      <c r="E114" s="2" t="s">
        <v>16</v>
      </c>
      <c r="F114" s="2" t="s">
        <v>76</v>
      </c>
      <c r="G114" s="2"/>
      <c r="H114" s="2"/>
      <c r="I114" s="2"/>
      <c r="J114" s="2"/>
      <c r="K114" s="3">
        <v>42511</v>
      </c>
      <c r="L114" s="2"/>
      <c r="M114" s="2"/>
      <c r="N114" s="2" t="s">
        <v>18</v>
      </c>
    </row>
    <row r="115" spans="1:14" ht="15.75" customHeight="1" x14ac:dyDescent="0.35">
      <c r="A115" s="2" t="s">
        <v>251</v>
      </c>
      <c r="B115" s="2" t="str" cm="1">
        <f t="array" ref="B115">_xlfn.IFS(AND(LEN('Special Help Table'!$A115)-(LEN(SUBSTITUTE('Special Help Table'!$A115,";","")))=0,LEN('Special Help Table'!$A115)-LEN(SUBSTITUTE('Special Help Table'!$A115,",",""))=1,LEN('Special Help Table'!$A115)-LEN(SUBSTITUTE('Special Help Table'!$A115,"and ",""))=0),MID('Special Help Table'!$A115&amp;" "&amp;'Special Help Table'!$A115,SEARCH(", ",'Special Help Table'!$A115)+1,LEN('Special Help Table'!$A115)),AND(LEN('Special Help Table'!$A115)-(LEN(SUBSTITUTE('Special Help Table'!$A115,";","")))=1,LEN('Special Help Table'!$A115)-LEN(SUBSTITUTE('Special Help Table'!$A115,"and ",""))=0),MID('Special Help Table'!$A115,SEARCH(",",'Special Help Table'!$A115)+1,(SEARCH(";",'Special Help Table'!$A115)-1)-SEARCH(",",'Special Help Table'!$A115))&amp;" "&amp;LEFT('Special Help Table'!$A115,SEARCH(",",'Special Help Table'!$A115)-1)&amp;";"&amp;RIGHT('Special Help Table'!$A115,LEN('Special Help Table'!$A115)-SEARCH(",",'Special Help Table'!$A115,SEARCH(";",'Special Help Table'!$A115)))&amp;" "&amp;MID('Special Help Table'!$A115,SEARCH("; ",'Special Help Table'!$A115)+2,SEARCH(",",'Special Help Table'!$A115,SEARCH(";",'Special Help Table'!$A115))-SEARCH(";",'Special Help Table'!$A115)-2),AND(LEN('Special Help Table'!$A115)-LEN(SUBSTITUTE('Special Help Table'!$A115,"and ",""))=0,LEN('Special Help Table'!$A115)-LEN(SUBSTITUTE('Special Help Table'!$A115,";",""))=0),'Special Help Table'!$A115,AND(LEN('Special Help Table'!$A115)-LEN(SUBSTITUTE('Special Help Table'!$A115,",","")=1),LEN('Special Help Table'!$A115)-LEN(SUBSTITUTE('Special Help Table'!$A115," ","")=20),LEN('Special Help Table'!$A115)-LEN(SUBSTITUTE('Special Help Table'!$A115," and",""))=0,LEN('Special Help Table'!$A115)-LEN(SUBSTITUTE('Special Help Table'!$A115,",","",FIND(" ",'Special Help Table'!$A115)+1))=0),RIGHT('Special Help Table'!$A115,LEN('Special Help Table'!$A115)-FIND(", ",'Special Help Table'!$A115))&amp;" "&amp;LEFT('Special Help Table'!$A115,FIND(",",'Special Help Table'!$A115)-1),AND(LEN('Special Help Table'!$A115)-LEN(SUBSTITUTE('Special Help Table'!$A115,"editor",""))=6,LEN('Special Help Table'!$A115)-LEN(SUBSTITUTE('Special Help Table'!$A115,"(",""))=0,LEN('Special Help Table'!$A115)-LEN(SUBSTITUTE('Special Help Table'!$A115,"and",""))=3,LEN('Special Help Table'!$A115)-LEN(SUBSTITUTE('Special Help Table'!$A115,",",""))=1,LEN('Special Help Table'!$A115)-LEN(SUBSTITUTE('Special Help Table'!$A115," ",""))=3),'Special Help Table'!$A115)</f>
        <v xml:space="preserve"> D.A. Carson</v>
      </c>
      <c r="C115" s="4" t="s">
        <v>255</v>
      </c>
      <c r="D115" s="2"/>
      <c r="E115" s="2" t="s">
        <v>16</v>
      </c>
      <c r="F115" s="2" t="s">
        <v>33</v>
      </c>
      <c r="G115" s="2"/>
      <c r="H115" s="2"/>
      <c r="I115" s="2"/>
      <c r="J115" s="2" t="s">
        <v>52</v>
      </c>
      <c r="K115" s="3">
        <v>40034</v>
      </c>
      <c r="L115" s="2"/>
      <c r="M115" s="2"/>
      <c r="N115" s="2" t="s">
        <v>18</v>
      </c>
    </row>
    <row r="116" spans="1:14" ht="15.75" customHeight="1" x14ac:dyDescent="0.35">
      <c r="A116" s="2" t="s">
        <v>251</v>
      </c>
      <c r="B116" s="2" t="str" cm="1">
        <f t="array" ref="B116">_xlfn.IFS(AND(LEN('Special Help Table'!$A116)-(LEN(SUBSTITUTE('Special Help Table'!$A116,";","")))=0,LEN('Special Help Table'!$A116)-LEN(SUBSTITUTE('Special Help Table'!$A116,",",""))=1,LEN('Special Help Table'!$A116)-LEN(SUBSTITUTE('Special Help Table'!$A116,"and ",""))=0),MID('Special Help Table'!$A116&amp;" "&amp;'Special Help Table'!$A116,SEARCH(", ",'Special Help Table'!$A116)+1,LEN('Special Help Table'!$A116)),AND(LEN('Special Help Table'!$A116)-(LEN(SUBSTITUTE('Special Help Table'!$A116,";","")))=1,LEN('Special Help Table'!$A116)-LEN(SUBSTITUTE('Special Help Table'!$A116,"and ",""))=0),MID('Special Help Table'!$A116,SEARCH(",",'Special Help Table'!$A116)+1,(SEARCH(";",'Special Help Table'!$A116)-1)-SEARCH(",",'Special Help Table'!$A116))&amp;" "&amp;LEFT('Special Help Table'!$A116,SEARCH(",",'Special Help Table'!$A116)-1)&amp;";"&amp;RIGHT('Special Help Table'!$A116,LEN('Special Help Table'!$A116)-SEARCH(",",'Special Help Table'!$A116,SEARCH(";",'Special Help Table'!$A116)))&amp;" "&amp;MID('Special Help Table'!$A116,SEARCH("; ",'Special Help Table'!$A116)+2,SEARCH(",",'Special Help Table'!$A116,SEARCH(";",'Special Help Table'!$A116))-SEARCH(";",'Special Help Table'!$A116)-2),AND(LEN('Special Help Table'!$A116)-LEN(SUBSTITUTE('Special Help Table'!$A116,"and ",""))=0,LEN('Special Help Table'!$A116)-LEN(SUBSTITUTE('Special Help Table'!$A116,";",""))=0),'Special Help Table'!$A116,AND(LEN('Special Help Table'!$A116)-LEN(SUBSTITUTE('Special Help Table'!$A116,",","")=1),LEN('Special Help Table'!$A116)-LEN(SUBSTITUTE('Special Help Table'!$A116," ","")=20),LEN('Special Help Table'!$A116)-LEN(SUBSTITUTE('Special Help Table'!$A116," and",""))=0,LEN('Special Help Table'!$A116)-LEN(SUBSTITUTE('Special Help Table'!$A116,",","",FIND(" ",'Special Help Table'!$A116)+1))=0),RIGHT('Special Help Table'!$A116,LEN('Special Help Table'!$A116)-FIND(", ",'Special Help Table'!$A116))&amp;" "&amp;LEFT('Special Help Table'!$A116,FIND(",",'Special Help Table'!$A116)-1),AND(LEN('Special Help Table'!$A116)-LEN(SUBSTITUTE('Special Help Table'!$A116,"editor",""))=6,LEN('Special Help Table'!$A116)-LEN(SUBSTITUTE('Special Help Table'!$A116,"(",""))=0,LEN('Special Help Table'!$A116)-LEN(SUBSTITUTE('Special Help Table'!$A116,"and",""))=3,LEN('Special Help Table'!$A116)-LEN(SUBSTITUTE('Special Help Table'!$A116,",",""))=1,LEN('Special Help Table'!$A116)-LEN(SUBSTITUTE('Special Help Table'!$A116," ",""))=3),'Special Help Table'!$A116)</f>
        <v xml:space="preserve"> D.A. Carson</v>
      </c>
      <c r="C116" s="4" t="s">
        <v>256</v>
      </c>
      <c r="D116" s="2" t="s">
        <v>78</v>
      </c>
      <c r="E116" s="2" t="s">
        <v>16</v>
      </c>
      <c r="F116" s="2" t="s">
        <v>76</v>
      </c>
      <c r="G116" s="2" t="s">
        <v>28</v>
      </c>
      <c r="H116" s="2"/>
      <c r="I116" s="2"/>
      <c r="J116" s="2"/>
      <c r="K116" s="3">
        <v>40034</v>
      </c>
      <c r="L116" s="2"/>
      <c r="M116" s="2"/>
      <c r="N116" s="2" t="s">
        <v>18</v>
      </c>
    </row>
    <row r="117" spans="1:14" ht="15.75" customHeight="1" x14ac:dyDescent="0.35">
      <c r="A117" s="2" t="s">
        <v>251</v>
      </c>
      <c r="B117" s="2" t="str" cm="1">
        <f t="array" ref="B117">_xlfn.IFS(AND(LEN('Special Help Table'!$A117)-(LEN(SUBSTITUTE('Special Help Table'!$A117,";","")))=0,LEN('Special Help Table'!$A117)-LEN(SUBSTITUTE('Special Help Table'!$A117,",",""))=1,LEN('Special Help Table'!$A117)-LEN(SUBSTITUTE('Special Help Table'!$A117,"and ",""))=0),MID('Special Help Table'!$A117&amp;" "&amp;'Special Help Table'!$A117,SEARCH(", ",'Special Help Table'!$A117)+1,LEN('Special Help Table'!$A117)),AND(LEN('Special Help Table'!$A117)-(LEN(SUBSTITUTE('Special Help Table'!$A117,";","")))=1,LEN('Special Help Table'!$A117)-LEN(SUBSTITUTE('Special Help Table'!$A117,"and ",""))=0),MID('Special Help Table'!$A117,SEARCH(",",'Special Help Table'!$A117)+1,(SEARCH(";",'Special Help Table'!$A117)-1)-SEARCH(",",'Special Help Table'!$A117))&amp;" "&amp;LEFT('Special Help Table'!$A117,SEARCH(",",'Special Help Table'!$A117)-1)&amp;";"&amp;RIGHT('Special Help Table'!$A117,LEN('Special Help Table'!$A117)-SEARCH(",",'Special Help Table'!$A117,SEARCH(";",'Special Help Table'!$A117)))&amp;" "&amp;MID('Special Help Table'!$A117,SEARCH("; ",'Special Help Table'!$A117)+2,SEARCH(",",'Special Help Table'!$A117,SEARCH(";",'Special Help Table'!$A117))-SEARCH(";",'Special Help Table'!$A117)-2),AND(LEN('Special Help Table'!$A117)-LEN(SUBSTITUTE('Special Help Table'!$A117,"and ",""))=0,LEN('Special Help Table'!$A117)-LEN(SUBSTITUTE('Special Help Table'!$A117,";",""))=0),'Special Help Table'!$A117,AND(LEN('Special Help Table'!$A117)-LEN(SUBSTITUTE('Special Help Table'!$A117,",","")=1),LEN('Special Help Table'!$A117)-LEN(SUBSTITUTE('Special Help Table'!$A117," ","")=20),LEN('Special Help Table'!$A117)-LEN(SUBSTITUTE('Special Help Table'!$A117," and",""))=0,LEN('Special Help Table'!$A117)-LEN(SUBSTITUTE('Special Help Table'!$A117,",","",FIND(" ",'Special Help Table'!$A117)+1))=0),RIGHT('Special Help Table'!$A117,LEN('Special Help Table'!$A117)-FIND(", ",'Special Help Table'!$A117))&amp;" "&amp;LEFT('Special Help Table'!$A117,FIND(",",'Special Help Table'!$A117)-1),AND(LEN('Special Help Table'!$A117)-LEN(SUBSTITUTE('Special Help Table'!$A117,"editor",""))=6,LEN('Special Help Table'!$A117)-LEN(SUBSTITUTE('Special Help Table'!$A117,"(",""))=0,LEN('Special Help Table'!$A117)-LEN(SUBSTITUTE('Special Help Table'!$A117,"and",""))=3,LEN('Special Help Table'!$A117)-LEN(SUBSTITUTE('Special Help Table'!$A117,",",""))=1,LEN('Special Help Table'!$A117)-LEN(SUBSTITUTE('Special Help Table'!$A117," ",""))=3),'Special Help Table'!$A117)</f>
        <v xml:space="preserve"> D.A. Carson</v>
      </c>
      <c r="C117" s="2" t="s">
        <v>257</v>
      </c>
      <c r="D117" s="2"/>
      <c r="E117" s="2" t="s">
        <v>16</v>
      </c>
      <c r="F117" s="2" t="s">
        <v>92</v>
      </c>
      <c r="G117" s="2"/>
      <c r="H117" s="2"/>
      <c r="I117" s="2"/>
      <c r="J117" s="2"/>
      <c r="K117" s="3">
        <v>40980</v>
      </c>
      <c r="L117" s="2"/>
      <c r="M117" s="2"/>
      <c r="N117" s="2" t="s">
        <v>18</v>
      </c>
    </row>
    <row r="118" spans="1:14" ht="15.75" customHeight="1" x14ac:dyDescent="0.35">
      <c r="A118" s="2" t="s">
        <v>251</v>
      </c>
      <c r="B118" s="2" t="str" cm="1">
        <f t="array" ref="B118">_xlfn.IFS(AND(LEN('Special Help Table'!$A118)-(LEN(SUBSTITUTE('Special Help Table'!$A118,";","")))=0,LEN('Special Help Table'!$A118)-LEN(SUBSTITUTE('Special Help Table'!$A118,",",""))=1,LEN('Special Help Table'!$A118)-LEN(SUBSTITUTE('Special Help Table'!$A118,"and ",""))=0),MID('Special Help Table'!$A118&amp;" "&amp;'Special Help Table'!$A118,SEARCH(", ",'Special Help Table'!$A118)+1,LEN('Special Help Table'!$A118)),AND(LEN('Special Help Table'!$A118)-(LEN(SUBSTITUTE('Special Help Table'!$A118,";","")))=1,LEN('Special Help Table'!$A118)-LEN(SUBSTITUTE('Special Help Table'!$A118,"and ",""))=0),MID('Special Help Table'!$A118,SEARCH(",",'Special Help Table'!$A118)+1,(SEARCH(";",'Special Help Table'!$A118)-1)-SEARCH(",",'Special Help Table'!$A118))&amp;" "&amp;LEFT('Special Help Table'!$A118,SEARCH(",",'Special Help Table'!$A118)-1)&amp;";"&amp;RIGHT('Special Help Table'!$A118,LEN('Special Help Table'!$A118)-SEARCH(",",'Special Help Table'!$A118,SEARCH(";",'Special Help Table'!$A118)))&amp;" "&amp;MID('Special Help Table'!$A118,SEARCH("; ",'Special Help Table'!$A118)+2,SEARCH(",",'Special Help Table'!$A118,SEARCH(";",'Special Help Table'!$A118))-SEARCH(";",'Special Help Table'!$A118)-2),AND(LEN('Special Help Table'!$A118)-LEN(SUBSTITUTE('Special Help Table'!$A118,"and ",""))=0,LEN('Special Help Table'!$A118)-LEN(SUBSTITUTE('Special Help Table'!$A118,";",""))=0),'Special Help Table'!$A118,AND(LEN('Special Help Table'!$A118)-LEN(SUBSTITUTE('Special Help Table'!$A118,",","")=1),LEN('Special Help Table'!$A118)-LEN(SUBSTITUTE('Special Help Table'!$A118," ","")=20),LEN('Special Help Table'!$A118)-LEN(SUBSTITUTE('Special Help Table'!$A118," and",""))=0,LEN('Special Help Table'!$A118)-LEN(SUBSTITUTE('Special Help Table'!$A118,",","",FIND(" ",'Special Help Table'!$A118)+1))=0),RIGHT('Special Help Table'!$A118,LEN('Special Help Table'!$A118)-FIND(", ",'Special Help Table'!$A118))&amp;" "&amp;LEFT('Special Help Table'!$A118,FIND(",",'Special Help Table'!$A118)-1),AND(LEN('Special Help Table'!$A118)-LEN(SUBSTITUTE('Special Help Table'!$A118,"editor",""))=6,LEN('Special Help Table'!$A118)-LEN(SUBSTITUTE('Special Help Table'!$A118,"(",""))=0,LEN('Special Help Table'!$A118)-LEN(SUBSTITUTE('Special Help Table'!$A118,"and",""))=3,LEN('Special Help Table'!$A118)-LEN(SUBSTITUTE('Special Help Table'!$A118,",",""))=1,LEN('Special Help Table'!$A118)-LEN(SUBSTITUTE('Special Help Table'!$A118," ",""))=3),'Special Help Table'!$A118)</f>
        <v xml:space="preserve"> D.A. Carson</v>
      </c>
      <c r="C118" s="4" t="s">
        <v>258</v>
      </c>
      <c r="D118" s="2"/>
      <c r="E118" s="2" t="s">
        <v>16</v>
      </c>
      <c r="F118" s="2" t="s">
        <v>17</v>
      </c>
      <c r="G118" s="2" t="s">
        <v>28</v>
      </c>
      <c r="H118" s="2"/>
      <c r="I118" s="2"/>
      <c r="J118" s="2" t="s">
        <v>188</v>
      </c>
      <c r="K118" s="3">
        <v>40034</v>
      </c>
      <c r="L118" s="2"/>
      <c r="M118" s="2"/>
      <c r="N118" s="2" t="s">
        <v>18</v>
      </c>
    </row>
    <row r="119" spans="1:14" ht="15.75" customHeight="1" x14ac:dyDescent="0.35">
      <c r="A119" s="2" t="s">
        <v>251</v>
      </c>
      <c r="B119" s="2" t="str" cm="1">
        <f t="array" ref="B119">_xlfn.IFS(AND(LEN('Special Help Table'!$A119)-(LEN(SUBSTITUTE('Special Help Table'!$A119,";","")))=0,LEN('Special Help Table'!$A119)-LEN(SUBSTITUTE('Special Help Table'!$A119,",",""))=1,LEN('Special Help Table'!$A119)-LEN(SUBSTITUTE('Special Help Table'!$A119,"and ",""))=0),MID('Special Help Table'!$A119&amp;" "&amp;'Special Help Table'!$A119,SEARCH(", ",'Special Help Table'!$A119)+1,LEN('Special Help Table'!$A119)),AND(LEN('Special Help Table'!$A119)-(LEN(SUBSTITUTE('Special Help Table'!$A119,";","")))=1,LEN('Special Help Table'!$A119)-LEN(SUBSTITUTE('Special Help Table'!$A119,"and ",""))=0),MID('Special Help Table'!$A119,SEARCH(",",'Special Help Table'!$A119)+1,(SEARCH(";",'Special Help Table'!$A119)-1)-SEARCH(",",'Special Help Table'!$A119))&amp;" "&amp;LEFT('Special Help Table'!$A119,SEARCH(",",'Special Help Table'!$A119)-1)&amp;";"&amp;RIGHT('Special Help Table'!$A119,LEN('Special Help Table'!$A119)-SEARCH(",",'Special Help Table'!$A119,SEARCH(";",'Special Help Table'!$A119)))&amp;" "&amp;MID('Special Help Table'!$A119,SEARCH("; ",'Special Help Table'!$A119)+2,SEARCH(",",'Special Help Table'!$A119,SEARCH(";",'Special Help Table'!$A119))-SEARCH(";",'Special Help Table'!$A119)-2),AND(LEN('Special Help Table'!$A119)-LEN(SUBSTITUTE('Special Help Table'!$A119,"and ",""))=0,LEN('Special Help Table'!$A119)-LEN(SUBSTITUTE('Special Help Table'!$A119,";",""))=0),'Special Help Table'!$A119,AND(LEN('Special Help Table'!$A119)-LEN(SUBSTITUTE('Special Help Table'!$A119,",","")=1),LEN('Special Help Table'!$A119)-LEN(SUBSTITUTE('Special Help Table'!$A119," ","")=20),LEN('Special Help Table'!$A119)-LEN(SUBSTITUTE('Special Help Table'!$A119," and",""))=0,LEN('Special Help Table'!$A119)-LEN(SUBSTITUTE('Special Help Table'!$A119,",","",FIND(" ",'Special Help Table'!$A119)+1))=0),RIGHT('Special Help Table'!$A119,LEN('Special Help Table'!$A119)-FIND(", ",'Special Help Table'!$A119))&amp;" "&amp;LEFT('Special Help Table'!$A119,FIND(",",'Special Help Table'!$A119)-1),AND(LEN('Special Help Table'!$A119)-LEN(SUBSTITUTE('Special Help Table'!$A119,"editor",""))=6,LEN('Special Help Table'!$A119)-LEN(SUBSTITUTE('Special Help Table'!$A119,"(",""))=0,LEN('Special Help Table'!$A119)-LEN(SUBSTITUTE('Special Help Table'!$A119,"and",""))=3,LEN('Special Help Table'!$A119)-LEN(SUBSTITUTE('Special Help Table'!$A119,",",""))=1,LEN('Special Help Table'!$A119)-LEN(SUBSTITUTE('Special Help Table'!$A119," ",""))=3),'Special Help Table'!$A119)</f>
        <v xml:space="preserve"> D.A. Carson</v>
      </c>
      <c r="C119" s="4" t="s">
        <v>259</v>
      </c>
      <c r="D119" s="2"/>
      <c r="E119" s="2" t="s">
        <v>16</v>
      </c>
      <c r="F119" s="2" t="s">
        <v>20</v>
      </c>
      <c r="G119" s="2"/>
      <c r="H119" s="2"/>
      <c r="I119" s="2"/>
      <c r="J119" s="2" t="s">
        <v>260</v>
      </c>
      <c r="K119" s="3">
        <v>40980</v>
      </c>
      <c r="L119" s="2"/>
      <c r="M119" s="2"/>
      <c r="N119" s="2" t="s">
        <v>18</v>
      </c>
    </row>
    <row r="120" spans="1:14" ht="15.75" customHeight="1" x14ac:dyDescent="0.35">
      <c r="A120" s="2" t="s">
        <v>251</v>
      </c>
      <c r="B120" s="2" t="str" cm="1">
        <f t="array" ref="B120">_xlfn.IFS(AND(LEN('Special Help Table'!$A120)-(LEN(SUBSTITUTE('Special Help Table'!$A120,";","")))=0,LEN('Special Help Table'!$A120)-LEN(SUBSTITUTE('Special Help Table'!$A120,",",""))=1,LEN('Special Help Table'!$A120)-LEN(SUBSTITUTE('Special Help Table'!$A120,"and ",""))=0),MID('Special Help Table'!$A120&amp;" "&amp;'Special Help Table'!$A120,SEARCH(", ",'Special Help Table'!$A120)+1,LEN('Special Help Table'!$A120)),AND(LEN('Special Help Table'!$A120)-(LEN(SUBSTITUTE('Special Help Table'!$A120,";","")))=1,LEN('Special Help Table'!$A120)-LEN(SUBSTITUTE('Special Help Table'!$A120,"and ",""))=0),MID('Special Help Table'!$A120,SEARCH(",",'Special Help Table'!$A120)+1,(SEARCH(";",'Special Help Table'!$A120)-1)-SEARCH(",",'Special Help Table'!$A120))&amp;" "&amp;LEFT('Special Help Table'!$A120,SEARCH(",",'Special Help Table'!$A120)-1)&amp;";"&amp;RIGHT('Special Help Table'!$A120,LEN('Special Help Table'!$A120)-SEARCH(",",'Special Help Table'!$A120,SEARCH(";",'Special Help Table'!$A120)))&amp;" "&amp;MID('Special Help Table'!$A120,SEARCH("; ",'Special Help Table'!$A120)+2,SEARCH(",",'Special Help Table'!$A120,SEARCH(";",'Special Help Table'!$A120))-SEARCH(";",'Special Help Table'!$A120)-2),AND(LEN('Special Help Table'!$A120)-LEN(SUBSTITUTE('Special Help Table'!$A120,"and ",""))=0,LEN('Special Help Table'!$A120)-LEN(SUBSTITUTE('Special Help Table'!$A120,";",""))=0),'Special Help Table'!$A120,AND(LEN('Special Help Table'!$A120)-LEN(SUBSTITUTE('Special Help Table'!$A120,",","")=1),LEN('Special Help Table'!$A120)-LEN(SUBSTITUTE('Special Help Table'!$A120," ","")=20),LEN('Special Help Table'!$A120)-LEN(SUBSTITUTE('Special Help Table'!$A120," and",""))=0,LEN('Special Help Table'!$A120)-LEN(SUBSTITUTE('Special Help Table'!$A120,",","",FIND(" ",'Special Help Table'!$A120)+1))=0),RIGHT('Special Help Table'!$A120,LEN('Special Help Table'!$A120)-FIND(", ",'Special Help Table'!$A120))&amp;" "&amp;LEFT('Special Help Table'!$A120,FIND(",",'Special Help Table'!$A120)-1),AND(LEN('Special Help Table'!$A120)-LEN(SUBSTITUTE('Special Help Table'!$A120,"editor",""))=6,LEN('Special Help Table'!$A120)-LEN(SUBSTITUTE('Special Help Table'!$A120,"(",""))=0,LEN('Special Help Table'!$A120)-LEN(SUBSTITUTE('Special Help Table'!$A120,"and",""))=3,LEN('Special Help Table'!$A120)-LEN(SUBSTITUTE('Special Help Table'!$A120,",",""))=1,LEN('Special Help Table'!$A120)-LEN(SUBSTITUTE('Special Help Table'!$A120," ",""))=3),'Special Help Table'!$A120)</f>
        <v xml:space="preserve"> D.A. Carson</v>
      </c>
      <c r="C120" s="4" t="s">
        <v>261</v>
      </c>
      <c r="D120" s="2"/>
      <c r="E120" s="2" t="s">
        <v>16</v>
      </c>
      <c r="F120" s="2" t="s">
        <v>39</v>
      </c>
      <c r="G120" s="2"/>
      <c r="H120" s="2"/>
      <c r="I120" s="2"/>
      <c r="J120" s="2"/>
      <c r="K120" s="3">
        <v>40369</v>
      </c>
      <c r="L120" s="2"/>
      <c r="M120" s="2"/>
      <c r="N120" s="2" t="s">
        <v>18</v>
      </c>
    </row>
    <row r="121" spans="1:14" ht="15.75" customHeight="1" x14ac:dyDescent="0.35">
      <c r="A121" s="2" t="s">
        <v>251</v>
      </c>
      <c r="B121" s="2" t="str" cm="1">
        <f t="array" ref="B121">_xlfn.IFS(AND(LEN('Special Help Table'!$A121)-(LEN(SUBSTITUTE('Special Help Table'!$A121,";","")))=0,LEN('Special Help Table'!$A121)-LEN(SUBSTITUTE('Special Help Table'!$A121,",",""))=1,LEN('Special Help Table'!$A121)-LEN(SUBSTITUTE('Special Help Table'!$A121,"and ",""))=0),MID('Special Help Table'!$A121&amp;" "&amp;'Special Help Table'!$A121,SEARCH(", ",'Special Help Table'!$A121)+1,LEN('Special Help Table'!$A121)),AND(LEN('Special Help Table'!$A121)-(LEN(SUBSTITUTE('Special Help Table'!$A121,";","")))=1,LEN('Special Help Table'!$A121)-LEN(SUBSTITUTE('Special Help Table'!$A121,"and ",""))=0),MID('Special Help Table'!$A121,SEARCH(",",'Special Help Table'!$A121)+1,(SEARCH(";",'Special Help Table'!$A121)-1)-SEARCH(",",'Special Help Table'!$A121))&amp;" "&amp;LEFT('Special Help Table'!$A121,SEARCH(",",'Special Help Table'!$A121)-1)&amp;";"&amp;RIGHT('Special Help Table'!$A121,LEN('Special Help Table'!$A121)-SEARCH(",",'Special Help Table'!$A121,SEARCH(";",'Special Help Table'!$A121)))&amp;" "&amp;MID('Special Help Table'!$A121,SEARCH("; ",'Special Help Table'!$A121)+2,SEARCH(",",'Special Help Table'!$A121,SEARCH(";",'Special Help Table'!$A121))-SEARCH(";",'Special Help Table'!$A121)-2),AND(LEN('Special Help Table'!$A121)-LEN(SUBSTITUTE('Special Help Table'!$A121,"and ",""))=0,LEN('Special Help Table'!$A121)-LEN(SUBSTITUTE('Special Help Table'!$A121,";",""))=0),'Special Help Table'!$A121,AND(LEN('Special Help Table'!$A121)-LEN(SUBSTITUTE('Special Help Table'!$A121,",","")=1),LEN('Special Help Table'!$A121)-LEN(SUBSTITUTE('Special Help Table'!$A121," ","")=20),LEN('Special Help Table'!$A121)-LEN(SUBSTITUTE('Special Help Table'!$A121," and",""))=0,LEN('Special Help Table'!$A121)-LEN(SUBSTITUTE('Special Help Table'!$A121,",","",FIND(" ",'Special Help Table'!$A121)+1))=0),RIGHT('Special Help Table'!$A121,LEN('Special Help Table'!$A121)-FIND(", ",'Special Help Table'!$A121))&amp;" "&amp;LEFT('Special Help Table'!$A121,FIND(",",'Special Help Table'!$A121)-1),AND(LEN('Special Help Table'!$A121)-LEN(SUBSTITUTE('Special Help Table'!$A121,"editor",""))=6,LEN('Special Help Table'!$A121)-LEN(SUBSTITUTE('Special Help Table'!$A121,"(",""))=0,LEN('Special Help Table'!$A121)-LEN(SUBSTITUTE('Special Help Table'!$A121,"and",""))=3,LEN('Special Help Table'!$A121)-LEN(SUBSTITUTE('Special Help Table'!$A121,",",""))=1,LEN('Special Help Table'!$A121)-LEN(SUBSTITUTE('Special Help Table'!$A121," ",""))=3),'Special Help Table'!$A121)</f>
        <v xml:space="preserve"> D.A. Carson</v>
      </c>
      <c r="C121" s="4" t="s">
        <v>262</v>
      </c>
      <c r="D121" s="2"/>
      <c r="E121" s="2" t="s">
        <v>16</v>
      </c>
      <c r="F121" s="2" t="s">
        <v>28</v>
      </c>
      <c r="G121" s="2"/>
      <c r="H121" s="2"/>
      <c r="I121" s="2"/>
      <c r="J121" s="2"/>
      <c r="K121" s="3">
        <v>41560</v>
      </c>
      <c r="L121" s="2"/>
      <c r="M121" s="2"/>
      <c r="N121" s="2" t="s">
        <v>18</v>
      </c>
    </row>
    <row r="122" spans="1:14" ht="15.75" customHeight="1" x14ac:dyDescent="0.35">
      <c r="A122" s="2" t="s">
        <v>263</v>
      </c>
      <c r="B122" s="2" t="str" cm="1">
        <f t="array" ref="B122">_xlfn.IFS(AND(LEN('Special Help Table'!$A122)-(LEN(SUBSTITUTE('Special Help Table'!$A122,";","")))=0,LEN('Special Help Table'!$A122)-LEN(SUBSTITUTE('Special Help Table'!$A122,",",""))=1,LEN('Special Help Table'!$A122)-LEN(SUBSTITUTE('Special Help Table'!$A122,"and ",""))=0),MID('Special Help Table'!$A122&amp;" "&amp;'Special Help Table'!$A122,SEARCH(", ",'Special Help Table'!$A122)+1,LEN('Special Help Table'!$A122)),AND(LEN('Special Help Table'!$A122)-(LEN(SUBSTITUTE('Special Help Table'!$A122,";","")))=1,LEN('Special Help Table'!$A122)-LEN(SUBSTITUTE('Special Help Table'!$A122,"and ",""))=0),MID('Special Help Table'!$A122,SEARCH(",",'Special Help Table'!$A122)+1,(SEARCH(";",'Special Help Table'!$A122)-1)-SEARCH(",",'Special Help Table'!$A122))&amp;" "&amp;LEFT('Special Help Table'!$A122,SEARCH(",",'Special Help Table'!$A122)-1)&amp;";"&amp;RIGHT('Special Help Table'!$A122,LEN('Special Help Table'!$A122)-SEARCH(",",'Special Help Table'!$A122,SEARCH(";",'Special Help Table'!$A122)))&amp;" "&amp;MID('Special Help Table'!$A122,SEARCH("; ",'Special Help Table'!$A122)+2,SEARCH(",",'Special Help Table'!$A122,SEARCH(";",'Special Help Table'!$A122))-SEARCH(";",'Special Help Table'!$A122)-2),AND(LEN('Special Help Table'!$A122)-LEN(SUBSTITUTE('Special Help Table'!$A122,"and ",""))=0,LEN('Special Help Table'!$A122)-LEN(SUBSTITUTE('Special Help Table'!$A122,";",""))=0),'Special Help Table'!$A122,AND(LEN('Special Help Table'!$A122)-LEN(SUBSTITUTE('Special Help Table'!$A122,",","")=1),LEN('Special Help Table'!$A122)-LEN(SUBSTITUTE('Special Help Table'!$A122," ","")=20),LEN('Special Help Table'!$A122)-LEN(SUBSTITUTE('Special Help Table'!$A122," and",""))=0,LEN('Special Help Table'!$A122)-LEN(SUBSTITUTE('Special Help Table'!$A122,",","",FIND(" ",'Special Help Table'!$A122)+1))=0),RIGHT('Special Help Table'!$A122,LEN('Special Help Table'!$A122)-FIND(", ",'Special Help Table'!$A122))&amp;" "&amp;LEFT('Special Help Table'!$A122,FIND(",",'Special Help Table'!$A122)-1),AND(LEN('Special Help Table'!$A122)-LEN(SUBSTITUTE('Special Help Table'!$A122,"editor",""))=6,LEN('Special Help Table'!$A122)-LEN(SUBSTITUTE('Special Help Table'!$A122,"(",""))=0,LEN('Special Help Table'!$A122)-LEN(SUBSTITUTE('Special Help Table'!$A122,"and",""))=3,LEN('Special Help Table'!$A122)-LEN(SUBSTITUTE('Special Help Table'!$A122,",",""))=1,LEN('Special Help Table'!$A122)-LEN(SUBSTITUTE('Special Help Table'!$A122," ",""))=3),'Special Help Table'!$A122)</f>
        <v xml:space="preserve"> Roger Carswell</v>
      </c>
      <c r="C122" s="4" t="s">
        <v>264</v>
      </c>
      <c r="D122" s="2"/>
      <c r="E122" s="2" t="s">
        <v>16</v>
      </c>
      <c r="F122" s="2" t="s">
        <v>28</v>
      </c>
      <c r="G122" s="2"/>
      <c r="H122" s="2"/>
      <c r="I122" s="2"/>
      <c r="J122" s="2" t="s">
        <v>142</v>
      </c>
      <c r="K122" s="3">
        <v>44772</v>
      </c>
      <c r="L122" s="2"/>
      <c r="M122" s="2"/>
      <c r="N122" s="2" t="s">
        <v>18</v>
      </c>
    </row>
    <row r="123" spans="1:14" ht="15.75" customHeight="1" x14ac:dyDescent="0.35">
      <c r="A123" s="2" t="s">
        <v>265</v>
      </c>
      <c r="B123" s="2" t="str" cm="1">
        <f t="array" ref="B123">_xlfn.IFS(AND(LEN('Special Help Table'!$A123)-(LEN(SUBSTITUTE('Special Help Table'!$A123,";","")))=0,LEN('Special Help Table'!$A123)-LEN(SUBSTITUTE('Special Help Table'!$A123,",",""))=1,LEN('Special Help Table'!$A123)-LEN(SUBSTITUTE('Special Help Table'!$A123,"and ",""))=0),MID('Special Help Table'!$A123&amp;" "&amp;'Special Help Table'!$A123,SEARCH(", ",'Special Help Table'!$A123)+1,LEN('Special Help Table'!$A123)),AND(LEN('Special Help Table'!$A123)-(LEN(SUBSTITUTE('Special Help Table'!$A123,";","")))=1,LEN('Special Help Table'!$A123)-LEN(SUBSTITUTE('Special Help Table'!$A123,"and ",""))=0),MID('Special Help Table'!$A123,SEARCH(",",'Special Help Table'!$A123)+1,(SEARCH(";",'Special Help Table'!$A123)-1)-SEARCH(",",'Special Help Table'!$A123))&amp;" "&amp;LEFT('Special Help Table'!$A123,SEARCH(",",'Special Help Table'!$A123)-1)&amp;";"&amp;RIGHT('Special Help Table'!$A123,LEN('Special Help Table'!$A123)-SEARCH(",",'Special Help Table'!$A123,SEARCH(";",'Special Help Table'!$A123)))&amp;" "&amp;MID('Special Help Table'!$A123,SEARCH("; ",'Special Help Table'!$A123)+2,SEARCH(",",'Special Help Table'!$A123,SEARCH(";",'Special Help Table'!$A123))-SEARCH(";",'Special Help Table'!$A123)-2),AND(LEN('Special Help Table'!$A123)-LEN(SUBSTITUTE('Special Help Table'!$A123,"and ",""))=0,LEN('Special Help Table'!$A123)-LEN(SUBSTITUTE('Special Help Table'!$A123,";",""))=0),'Special Help Table'!$A123,AND(LEN('Special Help Table'!$A123)-LEN(SUBSTITUTE('Special Help Table'!$A123,",","")=1),LEN('Special Help Table'!$A123)-LEN(SUBSTITUTE('Special Help Table'!$A123," ","")=20),LEN('Special Help Table'!$A123)-LEN(SUBSTITUTE('Special Help Table'!$A123," and",""))=0,LEN('Special Help Table'!$A123)-LEN(SUBSTITUTE('Special Help Table'!$A123,",","",FIND(" ",'Special Help Table'!$A123)+1))=0),RIGHT('Special Help Table'!$A123,LEN('Special Help Table'!$A123)-FIND(", ",'Special Help Table'!$A123))&amp;" "&amp;LEFT('Special Help Table'!$A123,FIND(",",'Special Help Table'!$A123)-1),AND(LEN('Special Help Table'!$A123)-LEN(SUBSTITUTE('Special Help Table'!$A123,"editor",""))=6,LEN('Special Help Table'!$A123)-LEN(SUBSTITUTE('Special Help Table'!$A123,"(",""))=0,LEN('Special Help Table'!$A123)-LEN(SUBSTITUTE('Special Help Table'!$A123,"and",""))=3,LEN('Special Help Table'!$A123)-LEN(SUBSTITUTE('Special Help Table'!$A123,",",""))=1,LEN('Special Help Table'!$A123)-LEN(SUBSTITUTE('Special Help Table'!$A123," ",""))=3),'Special Help Table'!$A123)</f>
        <v xml:space="preserve"> Anthony J. Carter</v>
      </c>
      <c r="C123" s="4" t="s">
        <v>266</v>
      </c>
      <c r="D123" s="2" t="s">
        <v>267</v>
      </c>
      <c r="E123" s="2" t="s">
        <v>16</v>
      </c>
      <c r="F123" s="2" t="s">
        <v>126</v>
      </c>
      <c r="G123" s="2"/>
      <c r="H123" s="2"/>
      <c r="I123" s="2"/>
      <c r="J123" s="2"/>
      <c r="K123" s="3">
        <v>44240</v>
      </c>
      <c r="L123" s="2"/>
      <c r="M123" s="2"/>
      <c r="N123" s="2" t="s">
        <v>18</v>
      </c>
    </row>
    <row r="124" spans="1:14" ht="15.75" customHeight="1" x14ac:dyDescent="0.35">
      <c r="A124" s="2" t="s">
        <v>268</v>
      </c>
      <c r="B124" s="2" t="str" cm="1">
        <f t="array" ref="B124">_xlfn.IFS(AND(LEN('Special Help Table'!$A124)-(LEN(SUBSTITUTE('Special Help Table'!$A124,";","")))=0,LEN('Special Help Table'!$A124)-LEN(SUBSTITUTE('Special Help Table'!$A124,",",""))=1,LEN('Special Help Table'!$A124)-LEN(SUBSTITUTE('Special Help Table'!$A124,"and ",""))=0),MID('Special Help Table'!$A124&amp;" "&amp;'Special Help Table'!$A124,SEARCH(", ",'Special Help Table'!$A124)+1,LEN('Special Help Table'!$A124)),AND(LEN('Special Help Table'!$A124)-(LEN(SUBSTITUTE('Special Help Table'!$A124,";","")))=1,LEN('Special Help Table'!$A124)-LEN(SUBSTITUTE('Special Help Table'!$A124,"and ",""))=0),MID('Special Help Table'!$A124,SEARCH(",",'Special Help Table'!$A124)+1,(SEARCH(";",'Special Help Table'!$A124)-1)-SEARCH(",",'Special Help Table'!$A124))&amp;" "&amp;LEFT('Special Help Table'!$A124,SEARCH(",",'Special Help Table'!$A124)-1)&amp;";"&amp;RIGHT('Special Help Table'!$A124,LEN('Special Help Table'!$A124)-SEARCH(",",'Special Help Table'!$A124,SEARCH(";",'Special Help Table'!$A124)))&amp;" "&amp;MID('Special Help Table'!$A124,SEARCH("; ",'Special Help Table'!$A124)+2,SEARCH(",",'Special Help Table'!$A124,SEARCH(";",'Special Help Table'!$A124))-SEARCH(";",'Special Help Table'!$A124)-2),AND(LEN('Special Help Table'!$A124)-LEN(SUBSTITUTE('Special Help Table'!$A124,"and ",""))=0,LEN('Special Help Table'!$A124)-LEN(SUBSTITUTE('Special Help Table'!$A124,";",""))=0),'Special Help Table'!$A124,AND(LEN('Special Help Table'!$A124)-LEN(SUBSTITUTE('Special Help Table'!$A124,",","")=1),LEN('Special Help Table'!$A124)-LEN(SUBSTITUTE('Special Help Table'!$A124," ","")=20),LEN('Special Help Table'!$A124)-LEN(SUBSTITUTE('Special Help Table'!$A124," and",""))=0,LEN('Special Help Table'!$A124)-LEN(SUBSTITUTE('Special Help Table'!$A124,",","",FIND(" ",'Special Help Table'!$A124)+1))=0),RIGHT('Special Help Table'!$A124,LEN('Special Help Table'!$A124)-FIND(", ",'Special Help Table'!$A124))&amp;" "&amp;LEFT('Special Help Table'!$A124,FIND(",",'Special Help Table'!$A124)-1),AND(LEN('Special Help Table'!$A124)-LEN(SUBSTITUTE('Special Help Table'!$A124,"editor",""))=6,LEN('Special Help Table'!$A124)-LEN(SUBSTITUTE('Special Help Table'!$A124,"(",""))=0,LEN('Special Help Table'!$A124)-LEN(SUBSTITUTE('Special Help Table'!$A124,"and",""))=3,LEN('Special Help Table'!$A124)-LEN(SUBSTITUTE('Special Help Table'!$A124,",",""))=1,LEN('Special Help Table'!$A124)-LEN(SUBSTITUTE('Special Help Table'!$A124," ",""))=3),'Special Help Table'!$A124)</f>
        <v xml:space="preserve"> Robbie Castleman</v>
      </c>
      <c r="C124" s="4" t="s">
        <v>269</v>
      </c>
      <c r="D124" s="2"/>
      <c r="E124" s="2" t="s">
        <v>16</v>
      </c>
      <c r="F124" s="2" t="s">
        <v>17</v>
      </c>
      <c r="G124" s="2" t="s">
        <v>270</v>
      </c>
      <c r="H124" s="2"/>
      <c r="I124" s="2"/>
      <c r="J124" s="2" t="s">
        <v>100</v>
      </c>
      <c r="K124" s="3">
        <v>42353</v>
      </c>
      <c r="L124" s="2"/>
      <c r="M124" s="2"/>
      <c r="N124" s="2" t="s">
        <v>18</v>
      </c>
    </row>
    <row r="125" spans="1:14" ht="15.75" customHeight="1" x14ac:dyDescent="0.35">
      <c r="A125" s="2" t="s">
        <v>271</v>
      </c>
      <c r="B125" s="2" t="str" cm="1">
        <f t="array" ref="B125">_xlfn.IFS(AND(LEN('Special Help Table'!$A125)-(LEN(SUBSTITUTE('Special Help Table'!$A125,";","")))=0,LEN('Special Help Table'!$A125)-LEN(SUBSTITUTE('Special Help Table'!$A125,",",""))=1,LEN('Special Help Table'!$A125)-LEN(SUBSTITUTE('Special Help Table'!$A125,"and ",""))=0),MID('Special Help Table'!$A125&amp;" "&amp;'Special Help Table'!$A125,SEARCH(", ",'Special Help Table'!$A125)+1,LEN('Special Help Table'!$A125)),AND(LEN('Special Help Table'!$A125)-(LEN(SUBSTITUTE('Special Help Table'!$A125,";","")))=1,LEN('Special Help Table'!$A125)-LEN(SUBSTITUTE('Special Help Table'!$A125,"and ",""))=0),MID('Special Help Table'!$A125,SEARCH(",",'Special Help Table'!$A125)+1,(SEARCH(";",'Special Help Table'!$A125)-1)-SEARCH(",",'Special Help Table'!$A125))&amp;" "&amp;LEFT('Special Help Table'!$A125,SEARCH(",",'Special Help Table'!$A125)-1)&amp;";"&amp;RIGHT('Special Help Table'!$A125,LEN('Special Help Table'!$A125)-SEARCH(",",'Special Help Table'!$A125,SEARCH(";",'Special Help Table'!$A125)))&amp;" "&amp;MID('Special Help Table'!$A125,SEARCH("; ",'Special Help Table'!$A125)+2,SEARCH(",",'Special Help Table'!$A125,SEARCH(";",'Special Help Table'!$A125))-SEARCH(";",'Special Help Table'!$A125)-2),AND(LEN('Special Help Table'!$A125)-LEN(SUBSTITUTE('Special Help Table'!$A125,"and ",""))=0,LEN('Special Help Table'!$A125)-LEN(SUBSTITUTE('Special Help Table'!$A125,";",""))=0),'Special Help Table'!$A125,AND(LEN('Special Help Table'!$A125)-LEN(SUBSTITUTE('Special Help Table'!$A125,",","")=1),LEN('Special Help Table'!$A125)-LEN(SUBSTITUTE('Special Help Table'!$A125," ","")=20),LEN('Special Help Table'!$A125)-LEN(SUBSTITUTE('Special Help Table'!$A125," and",""))=0,LEN('Special Help Table'!$A125)-LEN(SUBSTITUTE('Special Help Table'!$A125,",","",FIND(" ",'Special Help Table'!$A125)+1))=0),RIGHT('Special Help Table'!$A125,LEN('Special Help Table'!$A125)-FIND(", ",'Special Help Table'!$A125))&amp;" "&amp;LEFT('Special Help Table'!$A125,FIND(",",'Special Help Table'!$A125)-1),AND(LEN('Special Help Table'!$A125)-LEN(SUBSTITUTE('Special Help Table'!$A125,"editor",""))=6,LEN('Special Help Table'!$A125)-LEN(SUBSTITUTE('Special Help Table'!$A125,"(",""))=0,LEN('Special Help Table'!$A125)-LEN(SUBSTITUTE('Special Help Table'!$A125,"and",""))=3,LEN('Special Help Table'!$A125)-LEN(SUBSTITUTE('Special Help Table'!$A125,",",""))=1,LEN('Special Help Table'!$A125)-LEN(SUBSTITUTE('Special Help Table'!$A125," ",""))=3),'Special Help Table'!$A125)</f>
        <v xml:space="preserve"> Christopher Catherwood</v>
      </c>
      <c r="C125" s="4" t="s">
        <v>272</v>
      </c>
      <c r="D125" s="2" t="s">
        <v>71</v>
      </c>
      <c r="E125" s="2" t="s">
        <v>16</v>
      </c>
      <c r="F125" s="2" t="s">
        <v>72</v>
      </c>
      <c r="G125" s="2"/>
      <c r="H125" s="2"/>
      <c r="I125" s="2"/>
      <c r="J125" s="2"/>
      <c r="K125" s="3">
        <v>42511</v>
      </c>
      <c r="L125" s="2"/>
      <c r="M125" s="2"/>
      <c r="N125" s="2" t="s">
        <v>18</v>
      </c>
    </row>
    <row r="126" spans="1:14" ht="15.75" customHeight="1" x14ac:dyDescent="0.35">
      <c r="A126" s="2" t="s">
        <v>273</v>
      </c>
      <c r="B126" s="2" t="str" cm="1">
        <f t="array" ref="B126">_xlfn.IFS(AND(LEN('Special Help Table'!$A126)-(LEN(SUBSTITUTE('Special Help Table'!$A126,";","")))=0,LEN('Special Help Table'!$A126)-LEN(SUBSTITUTE('Special Help Table'!$A126,",",""))=1,LEN('Special Help Table'!$A126)-LEN(SUBSTITUTE('Special Help Table'!$A126,"and ",""))=0),MID('Special Help Table'!$A126&amp;" "&amp;'Special Help Table'!$A126,SEARCH(", ",'Special Help Table'!$A126)+1,LEN('Special Help Table'!$A126)),AND(LEN('Special Help Table'!$A126)-(LEN(SUBSTITUTE('Special Help Table'!$A126,";","")))=1,LEN('Special Help Table'!$A126)-LEN(SUBSTITUTE('Special Help Table'!$A126,"and ",""))=0),MID('Special Help Table'!$A126,SEARCH(",",'Special Help Table'!$A126)+1,(SEARCH(";",'Special Help Table'!$A126)-1)-SEARCH(",",'Special Help Table'!$A126))&amp;" "&amp;LEFT('Special Help Table'!$A126,SEARCH(",",'Special Help Table'!$A126)-1)&amp;";"&amp;RIGHT('Special Help Table'!$A126,LEN('Special Help Table'!$A126)-SEARCH(",",'Special Help Table'!$A126,SEARCH(";",'Special Help Table'!$A126)))&amp;" "&amp;MID('Special Help Table'!$A126,SEARCH("; ",'Special Help Table'!$A126)+2,SEARCH(",",'Special Help Table'!$A126,SEARCH(";",'Special Help Table'!$A126))-SEARCH(";",'Special Help Table'!$A126)-2),AND(LEN('Special Help Table'!$A126)-LEN(SUBSTITUTE('Special Help Table'!$A126,"and ",""))=0,LEN('Special Help Table'!$A126)-LEN(SUBSTITUTE('Special Help Table'!$A126,";",""))=0),'Special Help Table'!$A126,AND(LEN('Special Help Table'!$A126)-LEN(SUBSTITUTE('Special Help Table'!$A126,",","")=1),LEN('Special Help Table'!$A126)-LEN(SUBSTITUTE('Special Help Table'!$A126," ","")=20),LEN('Special Help Table'!$A126)-LEN(SUBSTITUTE('Special Help Table'!$A126," and",""))=0,LEN('Special Help Table'!$A126)-LEN(SUBSTITUTE('Special Help Table'!$A126,",","",FIND(" ",'Special Help Table'!$A126)+1))=0),RIGHT('Special Help Table'!$A126,LEN('Special Help Table'!$A126)-FIND(", ",'Special Help Table'!$A126))&amp;" "&amp;LEFT('Special Help Table'!$A126,FIND(",",'Special Help Table'!$A126)-1),AND(LEN('Special Help Table'!$A126)-LEN(SUBSTITUTE('Special Help Table'!$A126,"editor",""))=6,LEN('Special Help Table'!$A126)-LEN(SUBSTITUTE('Special Help Table'!$A126,"(",""))=0,LEN('Special Help Table'!$A126)-LEN(SUBSTITUTE('Special Help Table'!$A126,"and",""))=3,LEN('Special Help Table'!$A126)-LEN(SUBSTITUTE('Special Help Table'!$A126,",",""))=1,LEN('Special Help Table'!$A126)-LEN(SUBSTITUTE('Special Help Table'!$A126," ",""))=3),'Special Help Table'!$A126)</f>
        <v xml:space="preserve"> Tim Challies</v>
      </c>
      <c r="C126" s="4" t="s">
        <v>274</v>
      </c>
      <c r="D126" s="2" t="s">
        <v>275</v>
      </c>
      <c r="E126" s="2" t="s">
        <v>16</v>
      </c>
      <c r="F126" s="2" t="s">
        <v>28</v>
      </c>
      <c r="G126" s="2"/>
      <c r="H126" s="2"/>
      <c r="I126" s="2"/>
      <c r="J126" s="2"/>
      <c r="K126" s="3">
        <v>42561</v>
      </c>
      <c r="L126" s="2"/>
      <c r="M126" s="2"/>
      <c r="N126" s="2" t="s">
        <v>18</v>
      </c>
    </row>
    <row r="127" spans="1:14" ht="15.75" customHeight="1" x14ac:dyDescent="0.35">
      <c r="A127" s="2" t="s">
        <v>276</v>
      </c>
      <c r="B127" s="2" t="str" cm="1">
        <f t="array" ref="B127">_xlfn.IFS(AND(LEN('Special Help Table'!$A127)-(LEN(SUBSTITUTE('Special Help Table'!$A127,";","")))=0,LEN('Special Help Table'!$A127)-LEN(SUBSTITUTE('Special Help Table'!$A127,",",""))=1,LEN('Special Help Table'!$A127)-LEN(SUBSTITUTE('Special Help Table'!$A127,"and ",""))=0),MID('Special Help Table'!$A127&amp;" "&amp;'Special Help Table'!$A127,SEARCH(", ",'Special Help Table'!$A127)+1,LEN('Special Help Table'!$A127)),AND(LEN('Special Help Table'!$A127)-(LEN(SUBSTITUTE('Special Help Table'!$A127,";","")))=1,LEN('Special Help Table'!$A127)-LEN(SUBSTITUTE('Special Help Table'!$A127,"and ",""))=0),MID('Special Help Table'!$A127,SEARCH(",",'Special Help Table'!$A127)+1,(SEARCH(";",'Special Help Table'!$A127)-1)-SEARCH(",",'Special Help Table'!$A127))&amp;" "&amp;LEFT('Special Help Table'!$A127,SEARCH(",",'Special Help Table'!$A127)-1)&amp;";"&amp;RIGHT('Special Help Table'!$A127,LEN('Special Help Table'!$A127)-SEARCH(",",'Special Help Table'!$A127,SEARCH(";",'Special Help Table'!$A127)))&amp;" "&amp;MID('Special Help Table'!$A127,SEARCH("; ",'Special Help Table'!$A127)+2,SEARCH(",",'Special Help Table'!$A127,SEARCH(";",'Special Help Table'!$A127))-SEARCH(";",'Special Help Table'!$A127)-2),AND(LEN('Special Help Table'!$A127)-LEN(SUBSTITUTE('Special Help Table'!$A127,"and ",""))=0,LEN('Special Help Table'!$A127)-LEN(SUBSTITUTE('Special Help Table'!$A127,";",""))=0),'Special Help Table'!$A127,AND(LEN('Special Help Table'!$A127)-LEN(SUBSTITUTE('Special Help Table'!$A127,",","")=1),LEN('Special Help Table'!$A127)-LEN(SUBSTITUTE('Special Help Table'!$A127," ","")=20),LEN('Special Help Table'!$A127)-LEN(SUBSTITUTE('Special Help Table'!$A127," and",""))=0,LEN('Special Help Table'!$A127)-LEN(SUBSTITUTE('Special Help Table'!$A127,",","",FIND(" ",'Special Help Table'!$A127)+1))=0),RIGHT('Special Help Table'!$A127,LEN('Special Help Table'!$A127)-FIND(", ",'Special Help Table'!$A127))&amp;" "&amp;LEFT('Special Help Table'!$A127,FIND(",",'Special Help Table'!$A127)-1),AND(LEN('Special Help Table'!$A127)-LEN(SUBSTITUTE('Special Help Table'!$A127,"editor",""))=6,LEN('Special Help Table'!$A127)-LEN(SUBSTITUTE('Special Help Table'!$A127,"(",""))=0,LEN('Special Help Table'!$A127)-LEN(SUBSTITUTE('Special Help Table'!$A127,"and",""))=3,LEN('Special Help Table'!$A127)-LEN(SUBSTITUTE('Special Help Table'!$A127,",",""))=1,LEN('Special Help Table'!$A127)-LEN(SUBSTITUTE('Special Help Table'!$A127," ",""))=3),'Special Help Table'!$A127)</f>
        <v xml:space="preserve"> Tim  Challies</v>
      </c>
      <c r="C127" s="4" t="s">
        <v>277</v>
      </c>
      <c r="D127" s="2"/>
      <c r="E127" s="2" t="s">
        <v>16</v>
      </c>
      <c r="F127" s="2" t="s">
        <v>20</v>
      </c>
      <c r="G127" s="2"/>
      <c r="H127" s="2"/>
      <c r="I127" s="2"/>
      <c r="J127" s="2" t="s">
        <v>278</v>
      </c>
      <c r="K127" s="3"/>
      <c r="L127" s="2"/>
      <c r="M127" s="2"/>
      <c r="N127" s="2" t="s">
        <v>18</v>
      </c>
    </row>
    <row r="128" spans="1:14" ht="15.75" customHeight="1" x14ac:dyDescent="0.35">
      <c r="A128" s="2" t="s">
        <v>279</v>
      </c>
      <c r="B128" s="2" t="str" cm="1">
        <f t="array" ref="B128">_xlfn.IFS(AND(LEN('Special Help Table'!$A128)-(LEN(SUBSTITUTE('Special Help Table'!$A128,";","")))=0,LEN('Special Help Table'!$A128)-LEN(SUBSTITUTE('Special Help Table'!$A128,",",""))=1,LEN('Special Help Table'!$A128)-LEN(SUBSTITUTE('Special Help Table'!$A128,"and ",""))=0),MID('Special Help Table'!$A128&amp;" "&amp;'Special Help Table'!$A128,SEARCH(", ",'Special Help Table'!$A128)+1,LEN('Special Help Table'!$A128)),AND(LEN('Special Help Table'!$A128)-(LEN(SUBSTITUTE('Special Help Table'!$A128,";","")))=1,LEN('Special Help Table'!$A128)-LEN(SUBSTITUTE('Special Help Table'!$A128,"and ",""))=0),MID('Special Help Table'!$A128,SEARCH(",",'Special Help Table'!$A128)+1,(SEARCH(";",'Special Help Table'!$A128)-1)-SEARCH(",",'Special Help Table'!$A128))&amp;" "&amp;LEFT('Special Help Table'!$A128,SEARCH(",",'Special Help Table'!$A128)-1)&amp;";"&amp;RIGHT('Special Help Table'!$A128,LEN('Special Help Table'!$A128)-SEARCH(",",'Special Help Table'!$A128,SEARCH(";",'Special Help Table'!$A128)))&amp;" "&amp;MID('Special Help Table'!$A128,SEARCH("; ",'Special Help Table'!$A128)+2,SEARCH(",",'Special Help Table'!$A128,SEARCH(";",'Special Help Table'!$A128))-SEARCH(";",'Special Help Table'!$A128)-2),AND(LEN('Special Help Table'!$A128)-LEN(SUBSTITUTE('Special Help Table'!$A128,"and ",""))=0,LEN('Special Help Table'!$A128)-LEN(SUBSTITUTE('Special Help Table'!$A128,";",""))=0),'Special Help Table'!$A128,AND(LEN('Special Help Table'!$A128)-LEN(SUBSTITUTE('Special Help Table'!$A128,",","")=1),LEN('Special Help Table'!$A128)-LEN(SUBSTITUTE('Special Help Table'!$A128," ","")=20),LEN('Special Help Table'!$A128)-LEN(SUBSTITUTE('Special Help Table'!$A128," and",""))=0,LEN('Special Help Table'!$A128)-LEN(SUBSTITUTE('Special Help Table'!$A128,",","",FIND(" ",'Special Help Table'!$A128)+1))=0),RIGHT('Special Help Table'!$A128,LEN('Special Help Table'!$A128)-FIND(", ",'Special Help Table'!$A128))&amp;" "&amp;LEFT('Special Help Table'!$A128,FIND(",",'Special Help Table'!$A128)-1),AND(LEN('Special Help Table'!$A128)-LEN(SUBSTITUTE('Special Help Table'!$A128,"editor",""))=6,LEN('Special Help Table'!$A128)-LEN(SUBSTITUTE('Special Help Table'!$A128,"(",""))=0,LEN('Special Help Table'!$A128)-LEN(SUBSTITUTE('Special Help Table'!$A128,"and",""))=3,LEN('Special Help Table'!$A128)-LEN(SUBSTITUTE('Special Help Table'!$A128,",",""))=1,LEN('Special Help Table'!$A128)-LEN(SUBSTITUTE('Special Help Table'!$A128," ",""))=3),'Special Help Table'!$A128)</f>
        <v xml:space="preserve"> Tim/R.W. Glenn Challies</v>
      </c>
      <c r="C128" s="4" t="s">
        <v>280</v>
      </c>
      <c r="D128" s="2"/>
      <c r="E128" s="2" t="s">
        <v>16</v>
      </c>
      <c r="F128" s="2" t="s">
        <v>17</v>
      </c>
      <c r="G128" s="2"/>
      <c r="H128" s="2"/>
      <c r="I128" s="2"/>
      <c r="J128" s="2" t="s">
        <v>281</v>
      </c>
      <c r="K128" s="3">
        <v>41560</v>
      </c>
      <c r="L128" s="2"/>
      <c r="M128" s="2"/>
      <c r="N128" s="2" t="s">
        <v>18</v>
      </c>
    </row>
    <row r="129" spans="1:14" ht="15.75" customHeight="1" x14ac:dyDescent="0.35">
      <c r="A129" s="2" t="s">
        <v>282</v>
      </c>
      <c r="B129" s="2" t="str" cm="1">
        <f t="array" ref="B129">_xlfn.IFS(AND(LEN('Special Help Table'!$A129)-(LEN(SUBSTITUTE('Special Help Table'!$A129,";","")))=0,LEN('Special Help Table'!$A129)-LEN(SUBSTITUTE('Special Help Table'!$A129,",",""))=1,LEN('Special Help Table'!$A129)-LEN(SUBSTITUTE('Special Help Table'!$A129,"and ",""))=0),MID('Special Help Table'!$A129&amp;" "&amp;'Special Help Table'!$A129,SEARCH(", ",'Special Help Table'!$A129)+1,LEN('Special Help Table'!$A129)),AND(LEN('Special Help Table'!$A129)-(LEN(SUBSTITUTE('Special Help Table'!$A129,";","")))=1,LEN('Special Help Table'!$A129)-LEN(SUBSTITUTE('Special Help Table'!$A129,"and ",""))=0),MID('Special Help Table'!$A129,SEARCH(",",'Special Help Table'!$A129)+1,(SEARCH(";",'Special Help Table'!$A129)-1)-SEARCH(",",'Special Help Table'!$A129))&amp;" "&amp;LEFT('Special Help Table'!$A129,SEARCH(",",'Special Help Table'!$A129)-1)&amp;";"&amp;RIGHT('Special Help Table'!$A129,LEN('Special Help Table'!$A129)-SEARCH(",",'Special Help Table'!$A129,SEARCH(";",'Special Help Table'!$A129)))&amp;" "&amp;MID('Special Help Table'!$A129,SEARCH("; ",'Special Help Table'!$A129)+2,SEARCH(",",'Special Help Table'!$A129,SEARCH(";",'Special Help Table'!$A129))-SEARCH(";",'Special Help Table'!$A129)-2),AND(LEN('Special Help Table'!$A129)-LEN(SUBSTITUTE('Special Help Table'!$A129,"and ",""))=0,LEN('Special Help Table'!$A129)-LEN(SUBSTITUTE('Special Help Table'!$A129,";",""))=0),'Special Help Table'!$A129,AND(LEN('Special Help Table'!$A129)-LEN(SUBSTITUTE('Special Help Table'!$A129,",","")=1),LEN('Special Help Table'!$A129)-LEN(SUBSTITUTE('Special Help Table'!$A129," ","")=20),LEN('Special Help Table'!$A129)-LEN(SUBSTITUTE('Special Help Table'!$A129," and",""))=0,LEN('Special Help Table'!$A129)-LEN(SUBSTITUTE('Special Help Table'!$A129,",","",FIND(" ",'Special Help Table'!$A129)+1))=0),RIGHT('Special Help Table'!$A129,LEN('Special Help Table'!$A129)-FIND(", ",'Special Help Table'!$A129))&amp;" "&amp;LEFT('Special Help Table'!$A129,FIND(",",'Special Help Table'!$A129)-1),AND(LEN('Special Help Table'!$A129)-LEN(SUBSTITUTE('Special Help Table'!$A129,"editor",""))=6,LEN('Special Help Table'!$A129)-LEN(SUBSTITUTE('Special Help Table'!$A129,"(",""))=0,LEN('Special Help Table'!$A129)-LEN(SUBSTITUTE('Special Help Table'!$A129,"and",""))=3,LEN('Special Help Table'!$A129)-LEN(SUBSTITUTE('Special Help Table'!$A129,",",""))=1,LEN('Special Help Table'!$A129)-LEN(SUBSTITUTE('Special Help Table'!$A129," ",""))=3),'Special Help Table'!$A129)</f>
        <v xml:space="preserve"> Lauren Chandler</v>
      </c>
      <c r="C129" s="4" t="s">
        <v>283</v>
      </c>
      <c r="D129" s="2" t="s">
        <v>284</v>
      </c>
      <c r="E129" s="2" t="s">
        <v>16</v>
      </c>
      <c r="F129" s="2" t="s">
        <v>72</v>
      </c>
      <c r="G129" s="2"/>
      <c r="H129" s="2"/>
      <c r="I129" s="2"/>
      <c r="J129" s="2"/>
      <c r="K129" s="3">
        <v>44044</v>
      </c>
      <c r="L129" s="2"/>
      <c r="M129" s="2"/>
      <c r="N129" s="2" t="s">
        <v>18</v>
      </c>
    </row>
    <row r="130" spans="1:14" ht="15.75" customHeight="1" x14ac:dyDescent="0.35">
      <c r="A130" s="2" t="s">
        <v>285</v>
      </c>
      <c r="B130" s="2" t="str" cm="1">
        <f t="array" ref="B130">_xlfn.IFS(AND(LEN('Special Help Table'!$A130)-(LEN(SUBSTITUTE('Special Help Table'!$A130,";","")))=0,LEN('Special Help Table'!$A130)-LEN(SUBSTITUTE('Special Help Table'!$A130,",",""))=1,LEN('Special Help Table'!$A130)-LEN(SUBSTITUTE('Special Help Table'!$A130,"and ",""))=0),MID('Special Help Table'!$A130&amp;" "&amp;'Special Help Table'!$A130,SEARCH(", ",'Special Help Table'!$A130)+1,LEN('Special Help Table'!$A130)),AND(LEN('Special Help Table'!$A130)-(LEN(SUBSTITUTE('Special Help Table'!$A130,";","")))=1,LEN('Special Help Table'!$A130)-LEN(SUBSTITUTE('Special Help Table'!$A130,"and ",""))=0),MID('Special Help Table'!$A130,SEARCH(",",'Special Help Table'!$A130)+1,(SEARCH(";",'Special Help Table'!$A130)-1)-SEARCH(",",'Special Help Table'!$A130))&amp;" "&amp;LEFT('Special Help Table'!$A130,SEARCH(",",'Special Help Table'!$A130)-1)&amp;";"&amp;RIGHT('Special Help Table'!$A130,LEN('Special Help Table'!$A130)-SEARCH(",",'Special Help Table'!$A130,SEARCH(";",'Special Help Table'!$A130)))&amp;" "&amp;MID('Special Help Table'!$A130,SEARCH("; ",'Special Help Table'!$A130)+2,SEARCH(",",'Special Help Table'!$A130,SEARCH(";",'Special Help Table'!$A130))-SEARCH(";",'Special Help Table'!$A130)-2),AND(LEN('Special Help Table'!$A130)-LEN(SUBSTITUTE('Special Help Table'!$A130,"and ",""))=0,LEN('Special Help Table'!$A130)-LEN(SUBSTITUTE('Special Help Table'!$A130,";",""))=0),'Special Help Table'!$A130,AND(LEN('Special Help Table'!$A130)-LEN(SUBSTITUTE('Special Help Table'!$A130,",","")=1),LEN('Special Help Table'!$A130)-LEN(SUBSTITUTE('Special Help Table'!$A130," ","")=20),LEN('Special Help Table'!$A130)-LEN(SUBSTITUTE('Special Help Table'!$A130," and",""))=0,LEN('Special Help Table'!$A130)-LEN(SUBSTITUTE('Special Help Table'!$A130,",","",FIND(" ",'Special Help Table'!$A130)+1))=0),RIGHT('Special Help Table'!$A130,LEN('Special Help Table'!$A130)-FIND(", ",'Special Help Table'!$A130))&amp;" "&amp;LEFT('Special Help Table'!$A130,FIND(",",'Special Help Table'!$A130)-1),AND(LEN('Special Help Table'!$A130)-LEN(SUBSTITUTE('Special Help Table'!$A130,"editor",""))=6,LEN('Special Help Table'!$A130)-LEN(SUBSTITUTE('Special Help Table'!$A130,"(",""))=0,LEN('Special Help Table'!$A130)-LEN(SUBSTITUTE('Special Help Table'!$A130,"and",""))=3,LEN('Special Help Table'!$A130)-LEN(SUBSTITUTE('Special Help Table'!$A130,",",""))=1,LEN('Special Help Table'!$A130)-LEN(SUBSTITUTE('Special Help Table'!$A130," ",""))=3),'Special Help Table'!$A130)</f>
        <v xml:space="preserve"> Walter J. Chantry</v>
      </c>
      <c r="C130" s="4" t="s">
        <v>286</v>
      </c>
      <c r="D130" s="2"/>
      <c r="E130" s="2" t="s">
        <v>16</v>
      </c>
      <c r="F130" s="2" t="s">
        <v>28</v>
      </c>
      <c r="G130" s="2"/>
      <c r="H130" s="2"/>
      <c r="I130" s="2"/>
      <c r="J130" s="2" t="s">
        <v>287</v>
      </c>
      <c r="K130" s="3">
        <v>44044</v>
      </c>
      <c r="L130" s="2"/>
      <c r="M130" s="2"/>
      <c r="N130" s="2" t="s">
        <v>18</v>
      </c>
    </row>
    <row r="131" spans="1:14" ht="15.75" customHeight="1" x14ac:dyDescent="0.35">
      <c r="A131" s="2" t="s">
        <v>288</v>
      </c>
      <c r="B131" s="2" t="str" cm="1">
        <f t="array" ref="B131">_xlfn.IFS(AND(LEN('Special Help Table'!$A131)-(LEN(SUBSTITUTE('Special Help Table'!$A131,";","")))=0,LEN('Special Help Table'!$A131)-LEN(SUBSTITUTE('Special Help Table'!$A131,",",""))=1,LEN('Special Help Table'!$A131)-LEN(SUBSTITUTE('Special Help Table'!$A131,"and ",""))=0),MID('Special Help Table'!$A131&amp;" "&amp;'Special Help Table'!$A131,SEARCH(", ",'Special Help Table'!$A131)+1,LEN('Special Help Table'!$A131)),AND(LEN('Special Help Table'!$A131)-(LEN(SUBSTITUTE('Special Help Table'!$A131,";","")))=1,LEN('Special Help Table'!$A131)-LEN(SUBSTITUTE('Special Help Table'!$A131,"and ",""))=0),MID('Special Help Table'!$A131,SEARCH(",",'Special Help Table'!$A131)+1,(SEARCH(";",'Special Help Table'!$A131)-1)-SEARCH(",",'Special Help Table'!$A131))&amp;" "&amp;LEFT('Special Help Table'!$A131,SEARCH(",",'Special Help Table'!$A131)-1)&amp;";"&amp;RIGHT('Special Help Table'!$A131,LEN('Special Help Table'!$A131)-SEARCH(",",'Special Help Table'!$A131,SEARCH(";",'Special Help Table'!$A131)))&amp;" "&amp;MID('Special Help Table'!$A131,SEARCH("; ",'Special Help Table'!$A131)+2,SEARCH(",",'Special Help Table'!$A131,SEARCH(";",'Special Help Table'!$A131))-SEARCH(";",'Special Help Table'!$A131)-2),AND(LEN('Special Help Table'!$A131)-LEN(SUBSTITUTE('Special Help Table'!$A131,"and ",""))=0,LEN('Special Help Table'!$A131)-LEN(SUBSTITUTE('Special Help Table'!$A131,";",""))=0),'Special Help Table'!$A131,AND(LEN('Special Help Table'!$A131)-LEN(SUBSTITUTE('Special Help Table'!$A131,",","")=1),LEN('Special Help Table'!$A131)-LEN(SUBSTITUTE('Special Help Table'!$A131," ","")=20),LEN('Special Help Table'!$A131)-LEN(SUBSTITUTE('Special Help Table'!$A131," and",""))=0,LEN('Special Help Table'!$A131)-LEN(SUBSTITUTE('Special Help Table'!$A131,",","",FIND(" ",'Special Help Table'!$A131)+1))=0),RIGHT('Special Help Table'!$A131,LEN('Special Help Table'!$A131)-FIND(", ",'Special Help Table'!$A131))&amp;" "&amp;LEFT('Special Help Table'!$A131,FIND(",",'Special Help Table'!$A131)-1),AND(LEN('Special Help Table'!$A131)-LEN(SUBSTITUTE('Special Help Table'!$A131,"editor",""))=6,LEN('Special Help Table'!$A131)-LEN(SUBSTITUTE('Special Help Table'!$A131,"(",""))=0,LEN('Special Help Table'!$A131)-LEN(SUBSTITUTE('Special Help Table'!$A131,"and",""))=3,LEN('Special Help Table'!$A131)-LEN(SUBSTITUTE('Special Help Table'!$A131,",",""))=1,LEN('Special Help Table'!$A131)-LEN(SUBSTITUTE('Special Help Table'!$A131," ",""))=3),'Special Help Table'!$A131)</f>
        <v xml:space="preserve"> Bryan Chapell</v>
      </c>
      <c r="C131" s="4" t="s">
        <v>289</v>
      </c>
      <c r="D131" s="2"/>
      <c r="E131" s="2" t="s">
        <v>16</v>
      </c>
      <c r="F131" s="2" t="s">
        <v>36</v>
      </c>
      <c r="G131" s="2"/>
      <c r="H131" s="2"/>
      <c r="I131" s="2"/>
      <c r="J131" s="2"/>
      <c r="K131" s="3">
        <v>40034</v>
      </c>
      <c r="L131" s="2"/>
      <c r="M131" s="2"/>
      <c r="N131" s="2" t="s">
        <v>18</v>
      </c>
    </row>
    <row r="132" spans="1:14" ht="15.75" customHeight="1" x14ac:dyDescent="0.35">
      <c r="A132" s="2" t="s">
        <v>288</v>
      </c>
      <c r="B132" s="2" t="str" cm="1">
        <f t="array" ref="B132">_xlfn.IFS(AND(LEN('Special Help Table'!$A132)-(LEN(SUBSTITUTE('Special Help Table'!$A132,";","")))=0,LEN('Special Help Table'!$A132)-LEN(SUBSTITUTE('Special Help Table'!$A132,",",""))=1,LEN('Special Help Table'!$A132)-LEN(SUBSTITUTE('Special Help Table'!$A132,"and ",""))=0),MID('Special Help Table'!$A132&amp;" "&amp;'Special Help Table'!$A132,SEARCH(", ",'Special Help Table'!$A132)+1,LEN('Special Help Table'!$A132)),AND(LEN('Special Help Table'!$A132)-(LEN(SUBSTITUTE('Special Help Table'!$A132,";","")))=1,LEN('Special Help Table'!$A132)-LEN(SUBSTITUTE('Special Help Table'!$A132,"and ",""))=0),MID('Special Help Table'!$A132,SEARCH(",",'Special Help Table'!$A132)+1,(SEARCH(";",'Special Help Table'!$A132)-1)-SEARCH(",",'Special Help Table'!$A132))&amp;" "&amp;LEFT('Special Help Table'!$A132,SEARCH(",",'Special Help Table'!$A132)-1)&amp;";"&amp;RIGHT('Special Help Table'!$A132,LEN('Special Help Table'!$A132)-SEARCH(",",'Special Help Table'!$A132,SEARCH(";",'Special Help Table'!$A132)))&amp;" "&amp;MID('Special Help Table'!$A132,SEARCH("; ",'Special Help Table'!$A132)+2,SEARCH(",",'Special Help Table'!$A132,SEARCH(";",'Special Help Table'!$A132))-SEARCH(";",'Special Help Table'!$A132)-2),AND(LEN('Special Help Table'!$A132)-LEN(SUBSTITUTE('Special Help Table'!$A132,"and ",""))=0,LEN('Special Help Table'!$A132)-LEN(SUBSTITUTE('Special Help Table'!$A132,";",""))=0),'Special Help Table'!$A132,AND(LEN('Special Help Table'!$A132)-LEN(SUBSTITUTE('Special Help Table'!$A132,",","")=1),LEN('Special Help Table'!$A132)-LEN(SUBSTITUTE('Special Help Table'!$A132," ","")=20),LEN('Special Help Table'!$A132)-LEN(SUBSTITUTE('Special Help Table'!$A132," and",""))=0,LEN('Special Help Table'!$A132)-LEN(SUBSTITUTE('Special Help Table'!$A132,",","",FIND(" ",'Special Help Table'!$A132)+1))=0),RIGHT('Special Help Table'!$A132,LEN('Special Help Table'!$A132)-FIND(", ",'Special Help Table'!$A132))&amp;" "&amp;LEFT('Special Help Table'!$A132,FIND(",",'Special Help Table'!$A132)-1),AND(LEN('Special Help Table'!$A132)-LEN(SUBSTITUTE('Special Help Table'!$A132,"editor",""))=6,LEN('Special Help Table'!$A132)-LEN(SUBSTITUTE('Special Help Table'!$A132,"(",""))=0,LEN('Special Help Table'!$A132)-LEN(SUBSTITUTE('Special Help Table'!$A132,"and",""))=3,LEN('Special Help Table'!$A132)-LEN(SUBSTITUTE('Special Help Table'!$A132,",",""))=1,LEN('Special Help Table'!$A132)-LEN(SUBSTITUTE('Special Help Table'!$A132," ",""))=3),'Special Help Table'!$A132)</f>
        <v xml:space="preserve"> Bryan Chapell</v>
      </c>
      <c r="C132" s="4" t="s">
        <v>290</v>
      </c>
      <c r="D132" s="2"/>
      <c r="E132" s="2" t="s">
        <v>16</v>
      </c>
      <c r="F132" s="2" t="s">
        <v>72</v>
      </c>
      <c r="G132" s="2"/>
      <c r="H132" s="2"/>
      <c r="I132" s="2"/>
      <c r="J132" s="2"/>
      <c r="K132" s="3">
        <v>40674</v>
      </c>
      <c r="L132" s="2"/>
      <c r="M132" s="2"/>
      <c r="N132" s="2" t="s">
        <v>18</v>
      </c>
    </row>
    <row r="133" spans="1:14" ht="15.75" customHeight="1" x14ac:dyDescent="0.35">
      <c r="A133" s="2" t="s">
        <v>291</v>
      </c>
      <c r="B133" s="2" t="str" cm="1">
        <f t="array" ref="B133">_xlfn.IFS(AND(LEN('Special Help Table'!$A133)-(LEN(SUBSTITUTE('Special Help Table'!$A133,";","")))=0,LEN('Special Help Table'!$A133)-LEN(SUBSTITUTE('Special Help Table'!$A133,",",""))=1,LEN('Special Help Table'!$A133)-LEN(SUBSTITUTE('Special Help Table'!$A133,"and ",""))=0),MID('Special Help Table'!$A133&amp;" "&amp;'Special Help Table'!$A133,SEARCH(", ",'Special Help Table'!$A133)+1,LEN('Special Help Table'!$A133)),AND(LEN('Special Help Table'!$A133)-(LEN(SUBSTITUTE('Special Help Table'!$A133,";","")))=1,LEN('Special Help Table'!$A133)-LEN(SUBSTITUTE('Special Help Table'!$A133,"and ",""))=0),MID('Special Help Table'!$A133,SEARCH(",",'Special Help Table'!$A133)+1,(SEARCH(";",'Special Help Table'!$A133)-1)-SEARCH(",",'Special Help Table'!$A133))&amp;" "&amp;LEFT('Special Help Table'!$A133,SEARCH(",",'Special Help Table'!$A133)-1)&amp;";"&amp;RIGHT('Special Help Table'!$A133,LEN('Special Help Table'!$A133)-SEARCH(",",'Special Help Table'!$A133,SEARCH(";",'Special Help Table'!$A133)))&amp;" "&amp;MID('Special Help Table'!$A133,SEARCH("; ",'Special Help Table'!$A133)+2,SEARCH(",",'Special Help Table'!$A133,SEARCH(";",'Special Help Table'!$A133))-SEARCH(";",'Special Help Table'!$A133)-2),AND(LEN('Special Help Table'!$A133)-LEN(SUBSTITUTE('Special Help Table'!$A133,"and ",""))=0,LEN('Special Help Table'!$A133)-LEN(SUBSTITUTE('Special Help Table'!$A133,";",""))=0),'Special Help Table'!$A133,AND(LEN('Special Help Table'!$A133)-LEN(SUBSTITUTE('Special Help Table'!$A133,",","")=1),LEN('Special Help Table'!$A133)-LEN(SUBSTITUTE('Special Help Table'!$A133," ","")=20),LEN('Special Help Table'!$A133)-LEN(SUBSTITUTE('Special Help Table'!$A133," and",""))=0,LEN('Special Help Table'!$A133)-LEN(SUBSTITUTE('Special Help Table'!$A133,",","",FIND(" ",'Special Help Table'!$A133)+1))=0),RIGHT('Special Help Table'!$A133,LEN('Special Help Table'!$A133)-FIND(", ",'Special Help Table'!$A133))&amp;" "&amp;LEFT('Special Help Table'!$A133,FIND(",",'Special Help Table'!$A133)-1),AND(LEN('Special Help Table'!$A133)-LEN(SUBSTITUTE('Special Help Table'!$A133,"editor",""))=6,LEN('Special Help Table'!$A133)-LEN(SUBSTITUTE('Special Help Table'!$A133,"(",""))=0,LEN('Special Help Table'!$A133)-LEN(SUBSTITUTE('Special Help Table'!$A133,"and",""))=3,LEN('Special Help Table'!$A133)-LEN(SUBSTITUTE('Special Help Table'!$A133,",",""))=1,LEN('Special Help Table'!$A133)-LEN(SUBSTITUTE('Special Help Table'!$A133," ",""))=3),'Special Help Table'!$A133)</f>
        <v xml:space="preserve"> Alex Chediak</v>
      </c>
      <c r="C133" s="4" t="s">
        <v>292</v>
      </c>
      <c r="D133" s="2"/>
      <c r="E133" s="2" t="s">
        <v>16</v>
      </c>
      <c r="F133" s="2" t="s">
        <v>17</v>
      </c>
      <c r="G133" s="2"/>
      <c r="H133" s="2"/>
      <c r="I133" s="2"/>
      <c r="J133" s="2" t="s">
        <v>293</v>
      </c>
      <c r="K133" s="3">
        <v>42705</v>
      </c>
      <c r="L133" s="2"/>
      <c r="M133" s="2"/>
      <c r="N133" s="2" t="s">
        <v>18</v>
      </c>
    </row>
    <row r="134" spans="1:14" ht="15.75" customHeight="1" x14ac:dyDescent="0.35">
      <c r="A134" s="2" t="s">
        <v>294</v>
      </c>
      <c r="B134" s="2" t="str" cm="1">
        <f t="array" ref="B134">_xlfn.IFS(AND(LEN('Special Help Table'!$A134)-(LEN(SUBSTITUTE('Special Help Table'!$A134,";","")))=0,LEN('Special Help Table'!$A134)-LEN(SUBSTITUTE('Special Help Table'!$A134,",",""))=1,LEN('Special Help Table'!$A134)-LEN(SUBSTITUTE('Special Help Table'!$A134,"and ",""))=0),MID('Special Help Table'!$A134&amp;" "&amp;'Special Help Table'!$A134,SEARCH(", ",'Special Help Table'!$A134)+1,LEN('Special Help Table'!$A134)),AND(LEN('Special Help Table'!$A134)-(LEN(SUBSTITUTE('Special Help Table'!$A134,";","")))=1,LEN('Special Help Table'!$A134)-LEN(SUBSTITUTE('Special Help Table'!$A134,"and ",""))=0),MID('Special Help Table'!$A134,SEARCH(",",'Special Help Table'!$A134)+1,(SEARCH(";",'Special Help Table'!$A134)-1)-SEARCH(",",'Special Help Table'!$A134))&amp;" "&amp;LEFT('Special Help Table'!$A134,SEARCH(",",'Special Help Table'!$A134)-1)&amp;";"&amp;RIGHT('Special Help Table'!$A134,LEN('Special Help Table'!$A134)-SEARCH(",",'Special Help Table'!$A134,SEARCH(";",'Special Help Table'!$A134)))&amp;" "&amp;MID('Special Help Table'!$A134,SEARCH("; ",'Special Help Table'!$A134)+2,SEARCH(",",'Special Help Table'!$A134,SEARCH(";",'Special Help Table'!$A134))-SEARCH(";",'Special Help Table'!$A134)-2),AND(LEN('Special Help Table'!$A134)-LEN(SUBSTITUTE('Special Help Table'!$A134,"and ",""))=0,LEN('Special Help Table'!$A134)-LEN(SUBSTITUTE('Special Help Table'!$A134,";",""))=0),'Special Help Table'!$A134,AND(LEN('Special Help Table'!$A134)-LEN(SUBSTITUTE('Special Help Table'!$A134,",","")=1),LEN('Special Help Table'!$A134)-LEN(SUBSTITUTE('Special Help Table'!$A134," ","")=20),LEN('Special Help Table'!$A134)-LEN(SUBSTITUTE('Special Help Table'!$A134," and",""))=0,LEN('Special Help Table'!$A134)-LEN(SUBSTITUTE('Special Help Table'!$A134,",","",FIND(" ",'Special Help Table'!$A134)+1))=0),RIGHT('Special Help Table'!$A134,LEN('Special Help Table'!$A134)-FIND(", ",'Special Help Table'!$A134))&amp;" "&amp;LEFT('Special Help Table'!$A134,FIND(",",'Special Help Table'!$A134)-1),AND(LEN('Special Help Table'!$A134)-LEN(SUBSTITUTE('Special Help Table'!$A134,"editor",""))=6,LEN('Special Help Table'!$A134)-LEN(SUBSTITUTE('Special Help Table'!$A134,"(",""))=0,LEN('Special Help Table'!$A134)-LEN(SUBSTITUTE('Special Help Table'!$A134,"and",""))=3,LEN('Special Help Table'!$A134)-LEN(SUBSTITUTE('Special Help Table'!$A134,",",""))=1,LEN('Special Help Table'!$A134)-LEN(SUBSTITUTE('Special Help Table'!$A134," ",""))=3),'Special Help Table'!$A134)</f>
        <v xml:space="preserve"> Gordon Cheng</v>
      </c>
      <c r="C134" s="4" t="s">
        <v>295</v>
      </c>
      <c r="D134" s="2" t="s">
        <v>296</v>
      </c>
      <c r="E134" s="2" t="s">
        <v>16</v>
      </c>
      <c r="F134" s="2" t="s">
        <v>17</v>
      </c>
      <c r="G134" s="2"/>
      <c r="H134" s="2"/>
      <c r="I134" s="2"/>
      <c r="J134" s="2" t="s">
        <v>233</v>
      </c>
      <c r="K134" s="3">
        <v>40431</v>
      </c>
      <c r="L134" s="2"/>
      <c r="M134" s="2"/>
      <c r="N134" s="2" t="s">
        <v>18</v>
      </c>
    </row>
    <row r="135" spans="1:14" ht="15.75" customHeight="1" x14ac:dyDescent="0.35">
      <c r="A135" s="2" t="s">
        <v>297</v>
      </c>
      <c r="B135" s="2" t="str" cm="1">
        <f t="array" ref="B135">_xlfn.IFS(AND(LEN('Special Help Table'!$A135)-(LEN(SUBSTITUTE('Special Help Table'!$A135,";","")))=0,LEN('Special Help Table'!$A135)-LEN(SUBSTITUTE('Special Help Table'!$A135,",",""))=1,LEN('Special Help Table'!$A135)-LEN(SUBSTITUTE('Special Help Table'!$A135,"and ",""))=0),MID('Special Help Table'!$A135&amp;" "&amp;'Special Help Table'!$A135,SEARCH(", ",'Special Help Table'!$A135)+1,LEN('Special Help Table'!$A135)),AND(LEN('Special Help Table'!$A135)-(LEN(SUBSTITUTE('Special Help Table'!$A135,";","")))=1,LEN('Special Help Table'!$A135)-LEN(SUBSTITUTE('Special Help Table'!$A135,"and ",""))=0),MID('Special Help Table'!$A135,SEARCH(",",'Special Help Table'!$A135)+1,(SEARCH(";",'Special Help Table'!$A135)-1)-SEARCH(",",'Special Help Table'!$A135))&amp;" "&amp;LEFT('Special Help Table'!$A135,SEARCH(",",'Special Help Table'!$A135)-1)&amp;";"&amp;RIGHT('Special Help Table'!$A135,LEN('Special Help Table'!$A135)-SEARCH(",",'Special Help Table'!$A135,SEARCH(";",'Special Help Table'!$A135)))&amp;" "&amp;MID('Special Help Table'!$A135,SEARCH("; ",'Special Help Table'!$A135)+2,SEARCH(",",'Special Help Table'!$A135,SEARCH(";",'Special Help Table'!$A135))-SEARCH(";",'Special Help Table'!$A135)-2),AND(LEN('Special Help Table'!$A135)-LEN(SUBSTITUTE('Special Help Table'!$A135,"and ",""))=0,LEN('Special Help Table'!$A135)-LEN(SUBSTITUTE('Special Help Table'!$A135,";",""))=0),'Special Help Table'!$A135,AND(LEN('Special Help Table'!$A135)-LEN(SUBSTITUTE('Special Help Table'!$A135,",","")=1),LEN('Special Help Table'!$A135)-LEN(SUBSTITUTE('Special Help Table'!$A135," ","")=20),LEN('Special Help Table'!$A135)-LEN(SUBSTITUTE('Special Help Table'!$A135," and",""))=0,LEN('Special Help Table'!$A135)-LEN(SUBSTITUTE('Special Help Table'!$A135,",","",FIND(" ",'Special Help Table'!$A135)+1))=0),RIGHT('Special Help Table'!$A135,LEN('Special Help Table'!$A135)-FIND(", ",'Special Help Table'!$A135))&amp;" "&amp;LEFT('Special Help Table'!$A135,FIND(",",'Special Help Table'!$A135)-1),AND(LEN('Special Help Table'!$A135)-LEN(SUBSTITUTE('Special Help Table'!$A135,"editor",""))=6,LEN('Special Help Table'!$A135)-LEN(SUBSTITUTE('Special Help Table'!$A135,"(",""))=0,LEN('Special Help Table'!$A135)-LEN(SUBSTITUTE('Special Help Table'!$A135,"and",""))=3,LEN('Special Help Table'!$A135)-LEN(SUBSTITUTE('Special Help Table'!$A135,",",""))=1,LEN('Special Help Table'!$A135)-LEN(SUBSTITUTE('Special Help Table'!$A135," ",""))=3),'Special Help Table'!$A135)</f>
        <v xml:space="preserve"> Vance Christie</v>
      </c>
      <c r="C135" s="4" t="s">
        <v>298</v>
      </c>
      <c r="D135" s="2"/>
      <c r="E135" s="2" t="s">
        <v>16</v>
      </c>
      <c r="F135" s="2" t="s">
        <v>39</v>
      </c>
      <c r="G135" s="2"/>
      <c r="H135" s="2"/>
      <c r="I135" s="2"/>
      <c r="J135" s="2" t="s">
        <v>59</v>
      </c>
      <c r="K135" s="3">
        <v>41560</v>
      </c>
      <c r="L135" s="2"/>
      <c r="M135" s="2"/>
      <c r="N135" s="2" t="s">
        <v>18</v>
      </c>
    </row>
    <row r="136" spans="1:14" ht="15.75" customHeight="1" x14ac:dyDescent="0.35">
      <c r="A136" s="2" t="s">
        <v>297</v>
      </c>
      <c r="B136" s="2" t="str" cm="1">
        <f t="array" ref="B136">_xlfn.IFS(AND(LEN('Special Help Table'!$A136)-(LEN(SUBSTITUTE('Special Help Table'!$A136,";","")))=0,LEN('Special Help Table'!$A136)-LEN(SUBSTITUTE('Special Help Table'!$A136,",",""))=1,LEN('Special Help Table'!$A136)-LEN(SUBSTITUTE('Special Help Table'!$A136,"and ",""))=0),MID('Special Help Table'!$A136&amp;" "&amp;'Special Help Table'!$A136,SEARCH(", ",'Special Help Table'!$A136)+1,LEN('Special Help Table'!$A136)),AND(LEN('Special Help Table'!$A136)-(LEN(SUBSTITUTE('Special Help Table'!$A136,";","")))=1,LEN('Special Help Table'!$A136)-LEN(SUBSTITUTE('Special Help Table'!$A136,"and ",""))=0),MID('Special Help Table'!$A136,SEARCH(",",'Special Help Table'!$A136)+1,(SEARCH(";",'Special Help Table'!$A136)-1)-SEARCH(",",'Special Help Table'!$A136))&amp;" "&amp;LEFT('Special Help Table'!$A136,SEARCH(",",'Special Help Table'!$A136)-1)&amp;";"&amp;RIGHT('Special Help Table'!$A136,LEN('Special Help Table'!$A136)-SEARCH(",",'Special Help Table'!$A136,SEARCH(";",'Special Help Table'!$A136)))&amp;" "&amp;MID('Special Help Table'!$A136,SEARCH("; ",'Special Help Table'!$A136)+2,SEARCH(",",'Special Help Table'!$A136,SEARCH(";",'Special Help Table'!$A136))-SEARCH(";",'Special Help Table'!$A136)-2),AND(LEN('Special Help Table'!$A136)-LEN(SUBSTITUTE('Special Help Table'!$A136,"and ",""))=0,LEN('Special Help Table'!$A136)-LEN(SUBSTITUTE('Special Help Table'!$A136,";",""))=0),'Special Help Table'!$A136,AND(LEN('Special Help Table'!$A136)-LEN(SUBSTITUTE('Special Help Table'!$A136,",","")=1),LEN('Special Help Table'!$A136)-LEN(SUBSTITUTE('Special Help Table'!$A136," ","")=20),LEN('Special Help Table'!$A136)-LEN(SUBSTITUTE('Special Help Table'!$A136," and",""))=0,LEN('Special Help Table'!$A136)-LEN(SUBSTITUTE('Special Help Table'!$A136,",","",FIND(" ",'Special Help Table'!$A136)+1))=0),RIGHT('Special Help Table'!$A136,LEN('Special Help Table'!$A136)-FIND(", ",'Special Help Table'!$A136))&amp;" "&amp;LEFT('Special Help Table'!$A136,FIND(",",'Special Help Table'!$A136)-1),AND(LEN('Special Help Table'!$A136)-LEN(SUBSTITUTE('Special Help Table'!$A136,"editor",""))=6,LEN('Special Help Table'!$A136)-LEN(SUBSTITUTE('Special Help Table'!$A136,"(",""))=0,LEN('Special Help Table'!$A136)-LEN(SUBSTITUTE('Special Help Table'!$A136,"and",""))=3,LEN('Special Help Table'!$A136)-LEN(SUBSTITUTE('Special Help Table'!$A136,",",""))=1,LEN('Special Help Table'!$A136)-LEN(SUBSTITUTE('Special Help Table'!$A136," ",""))=3),'Special Help Table'!$A136)</f>
        <v xml:space="preserve"> Vance Christie</v>
      </c>
      <c r="C136" s="4" t="s">
        <v>299</v>
      </c>
      <c r="D136" s="2"/>
      <c r="E136" s="2" t="s">
        <v>16</v>
      </c>
      <c r="F136" s="2" t="s">
        <v>39</v>
      </c>
      <c r="G136" s="2"/>
      <c r="H136" s="2"/>
      <c r="I136" s="2"/>
      <c r="J136" s="2" t="s">
        <v>59</v>
      </c>
      <c r="K136" s="3"/>
      <c r="L136" s="2"/>
      <c r="M136" s="2"/>
      <c r="N136" s="2" t="s">
        <v>18</v>
      </c>
    </row>
    <row r="137" spans="1:14" ht="15.75" customHeight="1" x14ac:dyDescent="0.35">
      <c r="A137" s="2" t="s">
        <v>300</v>
      </c>
      <c r="B137" s="2" t="str" cm="1">
        <f t="array" ref="B137">_xlfn.IFS(AND(LEN('Special Help Table'!$A137)-(LEN(SUBSTITUTE('Special Help Table'!$A137,";","")))=0,LEN('Special Help Table'!$A137)-LEN(SUBSTITUTE('Special Help Table'!$A137,",",""))=1,LEN('Special Help Table'!$A137)-LEN(SUBSTITUTE('Special Help Table'!$A137,"and ",""))=0),MID('Special Help Table'!$A137&amp;" "&amp;'Special Help Table'!$A137,SEARCH(", ",'Special Help Table'!$A137)+1,LEN('Special Help Table'!$A137)),AND(LEN('Special Help Table'!$A137)-(LEN(SUBSTITUTE('Special Help Table'!$A137,";","")))=1,LEN('Special Help Table'!$A137)-LEN(SUBSTITUTE('Special Help Table'!$A137,"and ",""))=0),MID('Special Help Table'!$A137,SEARCH(",",'Special Help Table'!$A137)+1,(SEARCH(";",'Special Help Table'!$A137)-1)-SEARCH(",",'Special Help Table'!$A137))&amp;" "&amp;LEFT('Special Help Table'!$A137,SEARCH(",",'Special Help Table'!$A137)-1)&amp;";"&amp;RIGHT('Special Help Table'!$A137,LEN('Special Help Table'!$A137)-SEARCH(",",'Special Help Table'!$A137,SEARCH(";",'Special Help Table'!$A137)))&amp;" "&amp;MID('Special Help Table'!$A137,SEARCH("; ",'Special Help Table'!$A137)+2,SEARCH(",",'Special Help Table'!$A137,SEARCH(";",'Special Help Table'!$A137))-SEARCH(";",'Special Help Table'!$A137)-2),AND(LEN('Special Help Table'!$A137)-LEN(SUBSTITUTE('Special Help Table'!$A137,"and ",""))=0,LEN('Special Help Table'!$A137)-LEN(SUBSTITUTE('Special Help Table'!$A137,";",""))=0),'Special Help Table'!$A137,AND(LEN('Special Help Table'!$A137)-LEN(SUBSTITUTE('Special Help Table'!$A137,",","")=1),LEN('Special Help Table'!$A137)-LEN(SUBSTITUTE('Special Help Table'!$A137," ","")=20),LEN('Special Help Table'!$A137)-LEN(SUBSTITUTE('Special Help Table'!$A137," and",""))=0,LEN('Special Help Table'!$A137)-LEN(SUBSTITUTE('Special Help Table'!$A137,",","",FIND(" ",'Special Help Table'!$A137)+1))=0),RIGHT('Special Help Table'!$A137,LEN('Special Help Table'!$A137)-FIND(", ",'Special Help Table'!$A137))&amp;" "&amp;LEFT('Special Help Table'!$A137,FIND(",",'Special Help Table'!$A137)-1),AND(LEN('Special Help Table'!$A137)-LEN(SUBSTITUTE('Special Help Table'!$A137,"editor",""))=6,LEN('Special Help Table'!$A137)-LEN(SUBSTITUTE('Special Help Table'!$A137,"(",""))=0,LEN('Special Help Table'!$A137)-LEN(SUBSTITUTE('Special Help Table'!$A137,"and",""))=3,LEN('Special Help Table'!$A137)-LEN(SUBSTITUTE('Special Help Table'!$A137,",",""))=1,LEN('Special Help Table'!$A137)-LEN(SUBSTITUTE('Special Help Table'!$A137," ",""))=3),'Special Help Table'!$A137)</f>
        <v xml:space="preserve"> Jayne V. Clark</v>
      </c>
      <c r="C137" s="4" t="s">
        <v>301</v>
      </c>
      <c r="D137" s="2" t="s">
        <v>302</v>
      </c>
      <c r="E137" s="2" t="s">
        <v>16</v>
      </c>
      <c r="F137" s="2" t="s">
        <v>72</v>
      </c>
      <c r="G137" s="2"/>
      <c r="H137" s="2"/>
      <c r="I137" s="2"/>
      <c r="J137" s="2"/>
      <c r="K137" s="3">
        <v>43831</v>
      </c>
      <c r="L137" s="2"/>
      <c r="M137" s="2"/>
      <c r="N137" s="2" t="s">
        <v>18</v>
      </c>
    </row>
    <row r="138" spans="1:14" ht="15.75" customHeight="1" x14ac:dyDescent="0.35">
      <c r="A138" s="2" t="s">
        <v>303</v>
      </c>
      <c r="B138" s="2" t="str" cm="1">
        <f t="array" ref="B138">_xlfn.IFS(AND(LEN('Special Help Table'!$A138)-(LEN(SUBSTITUTE('Special Help Table'!$A138,";","")))=0,LEN('Special Help Table'!$A138)-LEN(SUBSTITUTE('Special Help Table'!$A138,",",""))=1,LEN('Special Help Table'!$A138)-LEN(SUBSTITUTE('Special Help Table'!$A138,"and ",""))=0),MID('Special Help Table'!$A138&amp;" "&amp;'Special Help Table'!$A138,SEARCH(", ",'Special Help Table'!$A138)+1,LEN('Special Help Table'!$A138)),AND(LEN('Special Help Table'!$A138)-(LEN(SUBSTITUTE('Special Help Table'!$A138,";","")))=1,LEN('Special Help Table'!$A138)-LEN(SUBSTITUTE('Special Help Table'!$A138,"and ",""))=0),MID('Special Help Table'!$A138,SEARCH(",",'Special Help Table'!$A138)+1,(SEARCH(";",'Special Help Table'!$A138)-1)-SEARCH(",",'Special Help Table'!$A138))&amp;" "&amp;LEFT('Special Help Table'!$A138,SEARCH(",",'Special Help Table'!$A138)-1)&amp;";"&amp;RIGHT('Special Help Table'!$A138,LEN('Special Help Table'!$A138)-SEARCH(",",'Special Help Table'!$A138,SEARCH(";",'Special Help Table'!$A138)))&amp;" "&amp;MID('Special Help Table'!$A138,SEARCH("; ",'Special Help Table'!$A138)+2,SEARCH(",",'Special Help Table'!$A138,SEARCH(";",'Special Help Table'!$A138))-SEARCH(";",'Special Help Table'!$A138)-2),AND(LEN('Special Help Table'!$A138)-LEN(SUBSTITUTE('Special Help Table'!$A138,"and ",""))=0,LEN('Special Help Table'!$A138)-LEN(SUBSTITUTE('Special Help Table'!$A138,";",""))=0),'Special Help Table'!$A138,AND(LEN('Special Help Table'!$A138)-LEN(SUBSTITUTE('Special Help Table'!$A138,",","")=1),LEN('Special Help Table'!$A138)-LEN(SUBSTITUTE('Special Help Table'!$A138," ","")=20),LEN('Special Help Table'!$A138)-LEN(SUBSTITUTE('Special Help Table'!$A138," and",""))=0,LEN('Special Help Table'!$A138)-LEN(SUBSTITUTE('Special Help Table'!$A138,",","",FIND(" ",'Special Help Table'!$A138)+1))=0),RIGHT('Special Help Table'!$A138,LEN('Special Help Table'!$A138)-FIND(", ",'Special Help Table'!$A138))&amp;" "&amp;LEFT('Special Help Table'!$A138,FIND(",",'Special Help Table'!$A138)-1),AND(LEN('Special Help Table'!$A138)-LEN(SUBSTITUTE('Special Help Table'!$A138,"editor",""))=6,LEN('Special Help Table'!$A138)-LEN(SUBSTITUTE('Special Help Table'!$A138,"(",""))=0,LEN('Special Help Table'!$A138)-LEN(SUBSTITUTE('Special Help Table'!$A138,"and",""))=3,LEN('Special Help Table'!$A138)-LEN(SUBSTITUTE('Special Help Table'!$A138,",",""))=1,LEN('Special Help Table'!$A138)-LEN(SUBSTITUTE('Special Help Table'!$A138," ",""))=3),'Special Help Table'!$A138)</f>
        <v xml:space="preserve"> Lynette G. Clark</v>
      </c>
      <c r="C138" s="4" t="s">
        <v>304</v>
      </c>
      <c r="D138" s="2"/>
      <c r="E138" s="2" t="s">
        <v>16</v>
      </c>
      <c r="F138" s="2" t="s">
        <v>39</v>
      </c>
      <c r="G138" s="2"/>
      <c r="H138" s="2"/>
      <c r="I138" s="2"/>
      <c r="J138" s="2"/>
      <c r="K138" s="3">
        <v>42309</v>
      </c>
      <c r="L138" s="2"/>
      <c r="M138" s="2"/>
      <c r="N138" s="2" t="s">
        <v>18</v>
      </c>
    </row>
    <row r="139" spans="1:14" ht="15.75" customHeight="1" x14ac:dyDescent="0.35">
      <c r="A139" s="2" t="s">
        <v>305</v>
      </c>
      <c r="B139" s="2" t="str" cm="1">
        <f t="array" ref="B139">_xlfn.IFS(AND(LEN('Special Help Table'!$A139)-(LEN(SUBSTITUTE('Special Help Table'!$A139,";","")))=0,LEN('Special Help Table'!$A139)-LEN(SUBSTITUTE('Special Help Table'!$A139,",",""))=1,LEN('Special Help Table'!$A139)-LEN(SUBSTITUTE('Special Help Table'!$A139,"and ",""))=0),MID('Special Help Table'!$A139&amp;" "&amp;'Special Help Table'!$A139,SEARCH(", ",'Special Help Table'!$A139)+1,LEN('Special Help Table'!$A139)),AND(LEN('Special Help Table'!$A139)-(LEN(SUBSTITUTE('Special Help Table'!$A139,";","")))=1,LEN('Special Help Table'!$A139)-LEN(SUBSTITUTE('Special Help Table'!$A139,"and ",""))=0),MID('Special Help Table'!$A139,SEARCH(",",'Special Help Table'!$A139)+1,(SEARCH(";",'Special Help Table'!$A139)-1)-SEARCH(",",'Special Help Table'!$A139))&amp;" "&amp;LEFT('Special Help Table'!$A139,SEARCH(",",'Special Help Table'!$A139)-1)&amp;";"&amp;RIGHT('Special Help Table'!$A139,LEN('Special Help Table'!$A139)-SEARCH(",",'Special Help Table'!$A139,SEARCH(";",'Special Help Table'!$A139)))&amp;" "&amp;MID('Special Help Table'!$A139,SEARCH("; ",'Special Help Table'!$A139)+2,SEARCH(",",'Special Help Table'!$A139,SEARCH(";",'Special Help Table'!$A139))-SEARCH(";",'Special Help Table'!$A139)-2),AND(LEN('Special Help Table'!$A139)-LEN(SUBSTITUTE('Special Help Table'!$A139,"and ",""))=0,LEN('Special Help Table'!$A139)-LEN(SUBSTITUTE('Special Help Table'!$A139,";",""))=0),'Special Help Table'!$A139,AND(LEN('Special Help Table'!$A139)-LEN(SUBSTITUTE('Special Help Table'!$A139,",","")=1),LEN('Special Help Table'!$A139)-LEN(SUBSTITUTE('Special Help Table'!$A139," ","")=20),LEN('Special Help Table'!$A139)-LEN(SUBSTITUTE('Special Help Table'!$A139," and",""))=0,LEN('Special Help Table'!$A139)-LEN(SUBSTITUTE('Special Help Table'!$A139,",","",FIND(" ",'Special Help Table'!$A139)+1))=0),RIGHT('Special Help Table'!$A139,LEN('Special Help Table'!$A139)-FIND(", ",'Special Help Table'!$A139))&amp;" "&amp;LEFT('Special Help Table'!$A139,FIND(",",'Special Help Table'!$A139)-1),AND(LEN('Special Help Table'!$A139)-LEN(SUBSTITUTE('Special Help Table'!$A139,"editor",""))=6,LEN('Special Help Table'!$A139)-LEN(SUBSTITUTE('Special Help Table'!$A139,"(",""))=0,LEN('Special Help Table'!$A139)-LEN(SUBSTITUTE('Special Help Table'!$A139,"and",""))=3,LEN('Special Help Table'!$A139)-LEN(SUBSTITUTE('Special Help Table'!$A139,",",""))=1,LEN('Special Help Table'!$A139)-LEN(SUBSTITUTE('Special Help Table'!$A139," ",""))=3),'Special Help Table'!$A139)</f>
        <v xml:space="preserve"> Wayne C Clark</v>
      </c>
      <c r="C139" s="4" t="s">
        <v>306</v>
      </c>
      <c r="D139" s="2"/>
      <c r="E139" s="2" t="s">
        <v>16</v>
      </c>
      <c r="F139" s="2" t="s">
        <v>33</v>
      </c>
      <c r="G139" s="2"/>
      <c r="H139" s="2" t="s">
        <v>307</v>
      </c>
      <c r="I139" s="2"/>
      <c r="J139" s="2" t="s">
        <v>49</v>
      </c>
      <c r="K139" s="3">
        <v>40827</v>
      </c>
      <c r="L139" s="2"/>
      <c r="M139" s="2"/>
      <c r="N139" s="2" t="s">
        <v>18</v>
      </c>
    </row>
    <row r="140" spans="1:14" ht="15.75" customHeight="1" x14ac:dyDescent="0.35">
      <c r="A140" s="2" t="s">
        <v>308</v>
      </c>
      <c r="B140" s="2" t="str" cm="1">
        <f t="array" ref="B140">_xlfn.IFS(AND(LEN('Special Help Table'!$A140)-(LEN(SUBSTITUTE('Special Help Table'!$A140,";","")))=0,LEN('Special Help Table'!$A140)-LEN(SUBSTITUTE('Special Help Table'!$A140,",",""))=1,LEN('Special Help Table'!$A140)-LEN(SUBSTITUTE('Special Help Table'!$A140,"and ",""))=0),MID('Special Help Table'!$A140&amp;" "&amp;'Special Help Table'!$A140,SEARCH(", ",'Special Help Table'!$A140)+1,LEN('Special Help Table'!$A140)),AND(LEN('Special Help Table'!$A140)-(LEN(SUBSTITUTE('Special Help Table'!$A140,";","")))=1,LEN('Special Help Table'!$A140)-LEN(SUBSTITUTE('Special Help Table'!$A140,"and ",""))=0),MID('Special Help Table'!$A140,SEARCH(",",'Special Help Table'!$A140)+1,(SEARCH(";",'Special Help Table'!$A140)-1)-SEARCH(",",'Special Help Table'!$A140))&amp;" "&amp;LEFT('Special Help Table'!$A140,SEARCH(",",'Special Help Table'!$A140)-1)&amp;";"&amp;RIGHT('Special Help Table'!$A140,LEN('Special Help Table'!$A140)-SEARCH(",",'Special Help Table'!$A140,SEARCH(";",'Special Help Table'!$A140)))&amp;" "&amp;MID('Special Help Table'!$A140,SEARCH("; ",'Special Help Table'!$A140)+2,SEARCH(",",'Special Help Table'!$A140,SEARCH(";",'Special Help Table'!$A140))-SEARCH(";",'Special Help Table'!$A140)-2),AND(LEN('Special Help Table'!$A140)-LEN(SUBSTITUTE('Special Help Table'!$A140,"and ",""))=0,LEN('Special Help Table'!$A140)-LEN(SUBSTITUTE('Special Help Table'!$A140,";",""))=0),'Special Help Table'!$A140,AND(LEN('Special Help Table'!$A140)-LEN(SUBSTITUTE('Special Help Table'!$A140,",","")=1),LEN('Special Help Table'!$A140)-LEN(SUBSTITUTE('Special Help Table'!$A140," ","")=20),LEN('Special Help Table'!$A140)-LEN(SUBSTITUTE('Special Help Table'!$A140," and",""))=0,LEN('Special Help Table'!$A140)-LEN(SUBSTITUTE('Special Help Table'!$A140,",","",FIND(" ",'Special Help Table'!$A140)+1))=0),RIGHT('Special Help Table'!$A140,LEN('Special Help Table'!$A140)-FIND(", ",'Special Help Table'!$A140))&amp;" "&amp;LEFT('Special Help Table'!$A140,FIND(",",'Special Help Table'!$A140)-1),AND(LEN('Special Help Table'!$A140)-LEN(SUBSTITUTE('Special Help Table'!$A140,"editor",""))=6,LEN('Special Help Table'!$A140)-LEN(SUBSTITUTE('Special Help Table'!$A140,"(",""))=0,LEN('Special Help Table'!$A140)-LEN(SUBSTITUTE('Special Help Table'!$A140,"and",""))=3,LEN('Special Help Table'!$A140)-LEN(SUBSTITUTE('Special Help Table'!$A140,",",""))=1,LEN('Special Help Table'!$A140)-LEN(SUBSTITUTE('Special Help Table'!$A140," ",""))=3),'Special Help Table'!$A140)</f>
        <v>Clements, Philiip J., ed</v>
      </c>
      <c r="C140" s="4" t="s">
        <v>309</v>
      </c>
      <c r="D140" s="2"/>
      <c r="E140" s="2" t="s">
        <v>16</v>
      </c>
      <c r="F140" s="2" t="s">
        <v>20</v>
      </c>
      <c r="G140" s="2"/>
      <c r="H140" s="2"/>
      <c r="I140" s="2"/>
      <c r="J140" s="2" t="s">
        <v>310</v>
      </c>
      <c r="K140" s="3">
        <v>42231</v>
      </c>
      <c r="L140" s="2"/>
      <c r="M140" s="2"/>
      <c r="N140" s="2" t="s">
        <v>18</v>
      </c>
    </row>
    <row r="141" spans="1:14" ht="15.75" customHeight="1" x14ac:dyDescent="0.35">
      <c r="A141" s="2" t="s">
        <v>311</v>
      </c>
      <c r="B141" s="2" t="str" cm="1">
        <f t="array" ref="B141">_xlfn.IFS(AND(LEN('Special Help Table'!$A141)-(LEN(SUBSTITUTE('Special Help Table'!$A141,";","")))=0,LEN('Special Help Table'!$A141)-LEN(SUBSTITUTE('Special Help Table'!$A141,",",""))=1,LEN('Special Help Table'!$A141)-LEN(SUBSTITUTE('Special Help Table'!$A141,"and ",""))=0),MID('Special Help Table'!$A141&amp;" "&amp;'Special Help Table'!$A141,SEARCH(", ",'Special Help Table'!$A141)+1,LEN('Special Help Table'!$A141)),AND(LEN('Special Help Table'!$A141)-(LEN(SUBSTITUTE('Special Help Table'!$A141,";","")))=1,LEN('Special Help Table'!$A141)-LEN(SUBSTITUTE('Special Help Table'!$A141,"and ",""))=0),MID('Special Help Table'!$A141,SEARCH(",",'Special Help Table'!$A141)+1,(SEARCH(";",'Special Help Table'!$A141)-1)-SEARCH(",",'Special Help Table'!$A141))&amp;" "&amp;LEFT('Special Help Table'!$A141,SEARCH(",",'Special Help Table'!$A141)-1)&amp;";"&amp;RIGHT('Special Help Table'!$A141,LEN('Special Help Table'!$A141)-SEARCH(",",'Special Help Table'!$A141,SEARCH(";",'Special Help Table'!$A141)))&amp;" "&amp;MID('Special Help Table'!$A141,SEARCH("; ",'Special Help Table'!$A141)+2,SEARCH(",",'Special Help Table'!$A141,SEARCH(";",'Special Help Table'!$A141))-SEARCH(";",'Special Help Table'!$A141)-2),AND(LEN('Special Help Table'!$A141)-LEN(SUBSTITUTE('Special Help Table'!$A141,"and ",""))=0,LEN('Special Help Table'!$A141)-LEN(SUBSTITUTE('Special Help Table'!$A141,";",""))=0),'Special Help Table'!$A141,AND(LEN('Special Help Table'!$A141)-LEN(SUBSTITUTE('Special Help Table'!$A141,",","")=1),LEN('Special Help Table'!$A141)-LEN(SUBSTITUTE('Special Help Table'!$A141," ","")=20),LEN('Special Help Table'!$A141)-LEN(SUBSTITUTE('Special Help Table'!$A141," and",""))=0,LEN('Special Help Table'!$A141)-LEN(SUBSTITUTE('Special Help Table'!$A141,",","",FIND(" ",'Special Help Table'!$A141)+1))=0),RIGHT('Special Help Table'!$A141,LEN('Special Help Table'!$A141)-FIND(", ",'Special Help Table'!$A141))&amp;" "&amp;LEFT('Special Help Table'!$A141,FIND(",",'Special Help Table'!$A141)-1),AND(LEN('Special Help Table'!$A141)-LEN(SUBSTITUTE('Special Help Table'!$A141,"editor",""))=6,LEN('Special Help Table'!$A141)-LEN(SUBSTITUTE('Special Help Table'!$A141,"(",""))=0,LEN('Special Help Table'!$A141)-LEN(SUBSTITUTE('Special Help Table'!$A141,"and",""))=3,LEN('Special Help Table'!$A141)-LEN(SUBSTITUTE('Special Help Table'!$A141,",",""))=1,LEN('Special Help Table'!$A141)-LEN(SUBSTITUTE('Special Help Table'!$A141," ",""))=3),'Special Help Table'!$A141)</f>
        <v xml:space="preserve"> Edmund P. Clowney</v>
      </c>
      <c r="C141" s="4" t="s">
        <v>312</v>
      </c>
      <c r="D141" s="2"/>
      <c r="E141" s="2" t="s">
        <v>16</v>
      </c>
      <c r="F141" s="2" t="s">
        <v>33</v>
      </c>
      <c r="G141" s="2"/>
      <c r="H141" s="2"/>
      <c r="I141" s="2"/>
      <c r="J141" s="2"/>
      <c r="K141" s="3">
        <v>40034</v>
      </c>
      <c r="L141" s="2"/>
      <c r="M141" s="2"/>
      <c r="N141" s="2" t="s">
        <v>18</v>
      </c>
    </row>
    <row r="142" spans="1:14" ht="15.75" customHeight="1" x14ac:dyDescent="0.35">
      <c r="A142" s="2" t="s">
        <v>311</v>
      </c>
      <c r="B142" s="2" t="str" cm="1">
        <f t="array" ref="B142">_xlfn.IFS(AND(LEN('Special Help Table'!$A142)-(LEN(SUBSTITUTE('Special Help Table'!$A142,";","")))=0,LEN('Special Help Table'!$A142)-LEN(SUBSTITUTE('Special Help Table'!$A142,",",""))=1,LEN('Special Help Table'!$A142)-LEN(SUBSTITUTE('Special Help Table'!$A142,"and ",""))=0),MID('Special Help Table'!$A142&amp;" "&amp;'Special Help Table'!$A142,SEARCH(", ",'Special Help Table'!$A142)+1,LEN('Special Help Table'!$A142)),AND(LEN('Special Help Table'!$A142)-(LEN(SUBSTITUTE('Special Help Table'!$A142,";","")))=1,LEN('Special Help Table'!$A142)-LEN(SUBSTITUTE('Special Help Table'!$A142,"and ",""))=0),MID('Special Help Table'!$A142,SEARCH(",",'Special Help Table'!$A142)+1,(SEARCH(";",'Special Help Table'!$A142)-1)-SEARCH(",",'Special Help Table'!$A142))&amp;" "&amp;LEFT('Special Help Table'!$A142,SEARCH(",",'Special Help Table'!$A142)-1)&amp;";"&amp;RIGHT('Special Help Table'!$A142,LEN('Special Help Table'!$A142)-SEARCH(",",'Special Help Table'!$A142,SEARCH(";",'Special Help Table'!$A142)))&amp;" "&amp;MID('Special Help Table'!$A142,SEARCH("; ",'Special Help Table'!$A142)+2,SEARCH(",",'Special Help Table'!$A142,SEARCH(";",'Special Help Table'!$A142))-SEARCH(";",'Special Help Table'!$A142)-2),AND(LEN('Special Help Table'!$A142)-LEN(SUBSTITUTE('Special Help Table'!$A142,"and ",""))=0,LEN('Special Help Table'!$A142)-LEN(SUBSTITUTE('Special Help Table'!$A142,";",""))=0),'Special Help Table'!$A142,AND(LEN('Special Help Table'!$A142)-LEN(SUBSTITUTE('Special Help Table'!$A142,",","")=1),LEN('Special Help Table'!$A142)-LEN(SUBSTITUTE('Special Help Table'!$A142," ","")=20),LEN('Special Help Table'!$A142)-LEN(SUBSTITUTE('Special Help Table'!$A142," and",""))=0,LEN('Special Help Table'!$A142)-LEN(SUBSTITUTE('Special Help Table'!$A142,",","",FIND(" ",'Special Help Table'!$A142)+1))=0),RIGHT('Special Help Table'!$A142,LEN('Special Help Table'!$A142)-FIND(", ",'Special Help Table'!$A142))&amp;" "&amp;LEFT('Special Help Table'!$A142,FIND(",",'Special Help Table'!$A142)-1),AND(LEN('Special Help Table'!$A142)-LEN(SUBSTITUTE('Special Help Table'!$A142,"editor",""))=6,LEN('Special Help Table'!$A142)-LEN(SUBSTITUTE('Special Help Table'!$A142,"(",""))=0,LEN('Special Help Table'!$A142)-LEN(SUBSTITUTE('Special Help Table'!$A142,"and",""))=3,LEN('Special Help Table'!$A142)-LEN(SUBSTITUTE('Special Help Table'!$A142,",",""))=1,LEN('Special Help Table'!$A142)-LEN(SUBSTITUTE('Special Help Table'!$A142," ",""))=3),'Special Help Table'!$A142)</f>
        <v xml:space="preserve"> Edmund P. Clowney</v>
      </c>
      <c r="C142" s="4" t="s">
        <v>313</v>
      </c>
      <c r="D142" s="2"/>
      <c r="E142" s="2" t="s">
        <v>16</v>
      </c>
      <c r="F142" s="2" t="s">
        <v>28</v>
      </c>
      <c r="G142" s="2"/>
      <c r="H142" s="2"/>
      <c r="I142" s="2"/>
      <c r="J142" s="2"/>
      <c r="K142" s="3"/>
      <c r="L142" s="2"/>
      <c r="M142" s="2"/>
      <c r="N142" s="2" t="s">
        <v>18</v>
      </c>
    </row>
    <row r="143" spans="1:14" ht="15.75" customHeight="1" x14ac:dyDescent="0.35">
      <c r="A143" s="2" t="s">
        <v>314</v>
      </c>
      <c r="B143" s="2" t="str" cm="1">
        <f t="array" ref="B143">_xlfn.IFS(AND(LEN('Special Help Table'!$A143)-(LEN(SUBSTITUTE('Special Help Table'!$A143,";","")))=0,LEN('Special Help Table'!$A143)-LEN(SUBSTITUTE('Special Help Table'!$A143,",",""))=1,LEN('Special Help Table'!$A143)-LEN(SUBSTITUTE('Special Help Table'!$A143,"and ",""))=0),MID('Special Help Table'!$A143&amp;" "&amp;'Special Help Table'!$A143,SEARCH(", ",'Special Help Table'!$A143)+1,LEN('Special Help Table'!$A143)),AND(LEN('Special Help Table'!$A143)-(LEN(SUBSTITUTE('Special Help Table'!$A143,";","")))=1,LEN('Special Help Table'!$A143)-LEN(SUBSTITUTE('Special Help Table'!$A143,"and ",""))=0),MID('Special Help Table'!$A143,SEARCH(",",'Special Help Table'!$A143)+1,(SEARCH(";",'Special Help Table'!$A143)-1)-SEARCH(",",'Special Help Table'!$A143))&amp;" "&amp;LEFT('Special Help Table'!$A143,SEARCH(",",'Special Help Table'!$A143)-1)&amp;";"&amp;RIGHT('Special Help Table'!$A143,LEN('Special Help Table'!$A143)-SEARCH(",",'Special Help Table'!$A143,SEARCH(";",'Special Help Table'!$A143)))&amp;" "&amp;MID('Special Help Table'!$A143,SEARCH("; ",'Special Help Table'!$A143)+2,SEARCH(",",'Special Help Table'!$A143,SEARCH(";",'Special Help Table'!$A143))-SEARCH(";",'Special Help Table'!$A143)-2),AND(LEN('Special Help Table'!$A143)-LEN(SUBSTITUTE('Special Help Table'!$A143,"and ",""))=0,LEN('Special Help Table'!$A143)-LEN(SUBSTITUTE('Special Help Table'!$A143,";",""))=0),'Special Help Table'!$A143,AND(LEN('Special Help Table'!$A143)-LEN(SUBSTITUTE('Special Help Table'!$A143,",","")=1),LEN('Special Help Table'!$A143)-LEN(SUBSTITUTE('Special Help Table'!$A143," ","")=20),LEN('Special Help Table'!$A143)-LEN(SUBSTITUTE('Special Help Table'!$A143," and",""))=0,LEN('Special Help Table'!$A143)-LEN(SUBSTITUTE('Special Help Table'!$A143,",","",FIND(" ",'Special Help Table'!$A143)+1))=0),RIGHT('Special Help Table'!$A143,LEN('Special Help Table'!$A143)-FIND(", ",'Special Help Table'!$A143))&amp;" "&amp;LEFT('Special Help Table'!$A143,FIND(",",'Special Help Table'!$A143)-1),AND(LEN('Special Help Table'!$A143)-LEN(SUBSTITUTE('Special Help Table'!$A143,"editor",""))=6,LEN('Special Help Table'!$A143)-LEN(SUBSTITUTE('Special Help Table'!$A143,"(",""))=0,LEN('Special Help Table'!$A143)-LEN(SUBSTITUTE('Special Help Table'!$A143,"and",""))=3,LEN('Special Help Table'!$A143)-LEN(SUBSTITUTE('Special Help Table'!$A143,",",""))=1,LEN('Special Help Table'!$A143)-LEN(SUBSTITUTE('Special Help Table'!$A143," ",""))=3),'Special Help Table'!$A143)</f>
        <v xml:space="preserve"> Cameron Cole</v>
      </c>
      <c r="C143" s="4" t="s">
        <v>315</v>
      </c>
      <c r="D143" s="2"/>
      <c r="E143" s="2" t="s">
        <v>16</v>
      </c>
      <c r="F143" s="2" t="s">
        <v>36</v>
      </c>
      <c r="G143" s="2"/>
      <c r="H143" s="2"/>
      <c r="I143" s="2"/>
      <c r="J143" s="2" t="s">
        <v>316</v>
      </c>
      <c r="K143" s="3"/>
      <c r="L143" s="2"/>
      <c r="M143" s="2"/>
      <c r="N143" s="2" t="s">
        <v>18</v>
      </c>
    </row>
    <row r="144" spans="1:14" ht="15.75" customHeight="1" x14ac:dyDescent="0.35">
      <c r="A144" s="2" t="s">
        <v>317</v>
      </c>
      <c r="B144" s="2" t="str" cm="1">
        <f t="array" ref="B144">_xlfn.IFS(AND(LEN('Special Help Table'!$A144)-(LEN(SUBSTITUTE('Special Help Table'!$A144,";","")))=0,LEN('Special Help Table'!$A144)-LEN(SUBSTITUTE('Special Help Table'!$A144,",",""))=1,LEN('Special Help Table'!$A144)-LEN(SUBSTITUTE('Special Help Table'!$A144,"and ",""))=0),MID('Special Help Table'!$A144&amp;" "&amp;'Special Help Table'!$A144,SEARCH(", ",'Special Help Table'!$A144)+1,LEN('Special Help Table'!$A144)),AND(LEN('Special Help Table'!$A144)-(LEN(SUBSTITUTE('Special Help Table'!$A144,";","")))=1,LEN('Special Help Table'!$A144)-LEN(SUBSTITUTE('Special Help Table'!$A144,"and ",""))=0),MID('Special Help Table'!$A144,SEARCH(",",'Special Help Table'!$A144)+1,(SEARCH(";",'Special Help Table'!$A144)-1)-SEARCH(",",'Special Help Table'!$A144))&amp;" "&amp;LEFT('Special Help Table'!$A144,SEARCH(",",'Special Help Table'!$A144)-1)&amp;";"&amp;RIGHT('Special Help Table'!$A144,LEN('Special Help Table'!$A144)-SEARCH(",",'Special Help Table'!$A144,SEARCH(";",'Special Help Table'!$A144)))&amp;" "&amp;MID('Special Help Table'!$A144,SEARCH("; ",'Special Help Table'!$A144)+2,SEARCH(",",'Special Help Table'!$A144,SEARCH(";",'Special Help Table'!$A144))-SEARCH(";",'Special Help Table'!$A144)-2),AND(LEN('Special Help Table'!$A144)-LEN(SUBSTITUTE('Special Help Table'!$A144,"and ",""))=0,LEN('Special Help Table'!$A144)-LEN(SUBSTITUTE('Special Help Table'!$A144,";",""))=0),'Special Help Table'!$A144,AND(LEN('Special Help Table'!$A144)-LEN(SUBSTITUTE('Special Help Table'!$A144,",","")=1),LEN('Special Help Table'!$A144)-LEN(SUBSTITUTE('Special Help Table'!$A144," ","")=20),LEN('Special Help Table'!$A144)-LEN(SUBSTITUTE('Special Help Table'!$A144," and",""))=0,LEN('Special Help Table'!$A144)-LEN(SUBSTITUTE('Special Help Table'!$A144,",","",FIND(" ",'Special Help Table'!$A144)+1))=0),RIGHT('Special Help Table'!$A144,LEN('Special Help Table'!$A144)-FIND(", ",'Special Help Table'!$A144))&amp;" "&amp;LEFT('Special Help Table'!$A144,FIND(",",'Special Help Table'!$A144)-1),AND(LEN('Special Help Table'!$A144)-LEN(SUBSTITUTE('Special Help Table'!$A144,"editor",""))=6,LEN('Special Help Table'!$A144)-LEN(SUBSTITUTE('Special Help Table'!$A144,"(",""))=0,LEN('Special Help Table'!$A144)-LEN(SUBSTITUTE('Special Help Table'!$A144,"and",""))=3,LEN('Special Help Table'!$A144)-LEN(SUBSTITUTE('Special Help Table'!$A144,",",""))=1,LEN('Special Help Table'!$A144)-LEN(SUBSTITUTE('Special Help Table'!$A144," ",""))=3),'Special Help Table'!$A144)</f>
        <v xml:space="preserve"> Derek Cooper</v>
      </c>
      <c r="C144" s="4" t="s">
        <v>318</v>
      </c>
      <c r="D144" s="2"/>
      <c r="E144" s="2" t="s">
        <v>16</v>
      </c>
      <c r="F144" s="2" t="s">
        <v>20</v>
      </c>
      <c r="G144" s="2"/>
      <c r="H144" s="2"/>
      <c r="I144" s="2"/>
      <c r="J144" s="2" t="s">
        <v>319</v>
      </c>
      <c r="K144" s="3"/>
      <c r="L144" s="2"/>
      <c r="M144" s="2"/>
      <c r="N144" s="2" t="s">
        <v>18</v>
      </c>
    </row>
    <row r="145" spans="1:14" ht="15.75" customHeight="1" x14ac:dyDescent="0.35">
      <c r="A145" s="2" t="s">
        <v>320</v>
      </c>
      <c r="B145" s="2" t="str" cm="1">
        <f t="array" ref="B145">_xlfn.IFS(AND(LEN('Special Help Table'!$A145)-(LEN(SUBSTITUTE('Special Help Table'!$A145,";","")))=0,LEN('Special Help Table'!$A145)-LEN(SUBSTITUTE('Special Help Table'!$A145,",",""))=1,LEN('Special Help Table'!$A145)-LEN(SUBSTITUTE('Special Help Table'!$A145,"and ",""))=0),MID('Special Help Table'!$A145&amp;" "&amp;'Special Help Table'!$A145,SEARCH(", ",'Special Help Table'!$A145)+1,LEN('Special Help Table'!$A145)),AND(LEN('Special Help Table'!$A145)-(LEN(SUBSTITUTE('Special Help Table'!$A145,";","")))=1,LEN('Special Help Table'!$A145)-LEN(SUBSTITUTE('Special Help Table'!$A145,"and ",""))=0),MID('Special Help Table'!$A145,SEARCH(",",'Special Help Table'!$A145)+1,(SEARCH(";",'Special Help Table'!$A145)-1)-SEARCH(",",'Special Help Table'!$A145))&amp;" "&amp;LEFT('Special Help Table'!$A145,SEARCH(",",'Special Help Table'!$A145)-1)&amp;";"&amp;RIGHT('Special Help Table'!$A145,LEN('Special Help Table'!$A145)-SEARCH(",",'Special Help Table'!$A145,SEARCH(";",'Special Help Table'!$A145)))&amp;" "&amp;MID('Special Help Table'!$A145,SEARCH("; ",'Special Help Table'!$A145)+2,SEARCH(",",'Special Help Table'!$A145,SEARCH(";",'Special Help Table'!$A145))-SEARCH(";",'Special Help Table'!$A145)-2),AND(LEN('Special Help Table'!$A145)-LEN(SUBSTITUTE('Special Help Table'!$A145,"and ",""))=0,LEN('Special Help Table'!$A145)-LEN(SUBSTITUTE('Special Help Table'!$A145,";",""))=0),'Special Help Table'!$A145,AND(LEN('Special Help Table'!$A145)-LEN(SUBSTITUTE('Special Help Table'!$A145,",","")=1),LEN('Special Help Table'!$A145)-LEN(SUBSTITUTE('Special Help Table'!$A145," ","")=20),LEN('Special Help Table'!$A145)-LEN(SUBSTITUTE('Special Help Table'!$A145," and",""))=0,LEN('Special Help Table'!$A145)-LEN(SUBSTITUTE('Special Help Table'!$A145,",","",FIND(" ",'Special Help Table'!$A145)+1))=0),RIGHT('Special Help Table'!$A145,LEN('Special Help Table'!$A145)-FIND(", ",'Special Help Table'!$A145))&amp;" "&amp;LEFT('Special Help Table'!$A145,FIND(",",'Special Help Table'!$A145)-1),AND(LEN('Special Help Table'!$A145)-LEN(SUBSTITUTE('Special Help Table'!$A145,"editor",""))=6,LEN('Special Help Table'!$A145)-LEN(SUBSTITUTE('Special Help Table'!$A145,"(",""))=0,LEN('Special Help Table'!$A145)-LEN(SUBSTITUTE('Special Help Table'!$A145,"and",""))=3,LEN('Special Help Table'!$A145)-LEN(SUBSTITUTE('Special Help Table'!$A145,",",""))=1,LEN('Special Help Table'!$A145)-LEN(SUBSTITUTE('Special Help Table'!$A145," ",""))=3),'Special Help Table'!$A145)</f>
        <v xml:space="preserve"> Steve Corbett</v>
      </c>
      <c r="C145" s="4" t="s">
        <v>321</v>
      </c>
      <c r="D145" s="2" t="s">
        <v>322</v>
      </c>
      <c r="E145" s="2" t="s">
        <v>16</v>
      </c>
      <c r="F145" s="2" t="s">
        <v>17</v>
      </c>
      <c r="G145" s="2"/>
      <c r="H145" s="2"/>
      <c r="I145" s="2"/>
      <c r="J145" s="2" t="s">
        <v>323</v>
      </c>
      <c r="K145" s="3">
        <v>41102</v>
      </c>
      <c r="L145" s="2"/>
      <c r="M145" s="2"/>
      <c r="N145" s="2" t="s">
        <v>18</v>
      </c>
    </row>
    <row r="146" spans="1:14" ht="15.75" customHeight="1" x14ac:dyDescent="0.35">
      <c r="A146" s="2" t="s">
        <v>324</v>
      </c>
      <c r="B146" s="2" t="str" cm="1">
        <f t="array" ref="B146">_xlfn.IFS(AND(LEN('Special Help Table'!$A146)-(LEN(SUBSTITUTE('Special Help Table'!$A146,";","")))=0,LEN('Special Help Table'!$A146)-LEN(SUBSTITUTE('Special Help Table'!$A146,",",""))=1,LEN('Special Help Table'!$A146)-LEN(SUBSTITUTE('Special Help Table'!$A146,"and ",""))=0),MID('Special Help Table'!$A146&amp;" "&amp;'Special Help Table'!$A146,SEARCH(", ",'Special Help Table'!$A146)+1,LEN('Special Help Table'!$A146)),AND(LEN('Special Help Table'!$A146)-(LEN(SUBSTITUTE('Special Help Table'!$A146,";","")))=1,LEN('Special Help Table'!$A146)-LEN(SUBSTITUTE('Special Help Table'!$A146,"and ",""))=0),MID('Special Help Table'!$A146,SEARCH(",",'Special Help Table'!$A146)+1,(SEARCH(";",'Special Help Table'!$A146)-1)-SEARCH(",",'Special Help Table'!$A146))&amp;" "&amp;LEFT('Special Help Table'!$A146,SEARCH(",",'Special Help Table'!$A146)-1)&amp;";"&amp;RIGHT('Special Help Table'!$A146,LEN('Special Help Table'!$A146)-SEARCH(",",'Special Help Table'!$A146,SEARCH(";",'Special Help Table'!$A146)))&amp;" "&amp;MID('Special Help Table'!$A146,SEARCH("; ",'Special Help Table'!$A146)+2,SEARCH(",",'Special Help Table'!$A146,SEARCH(";",'Special Help Table'!$A146))-SEARCH(";",'Special Help Table'!$A146)-2),AND(LEN('Special Help Table'!$A146)-LEN(SUBSTITUTE('Special Help Table'!$A146,"and ",""))=0,LEN('Special Help Table'!$A146)-LEN(SUBSTITUTE('Special Help Table'!$A146,";",""))=0),'Special Help Table'!$A146,AND(LEN('Special Help Table'!$A146)-LEN(SUBSTITUTE('Special Help Table'!$A146,",","")=1),LEN('Special Help Table'!$A146)-LEN(SUBSTITUTE('Special Help Table'!$A146," ","")=20),LEN('Special Help Table'!$A146)-LEN(SUBSTITUTE('Special Help Table'!$A146," and",""))=0,LEN('Special Help Table'!$A146)-LEN(SUBSTITUTE('Special Help Table'!$A146,",","",FIND(" ",'Special Help Table'!$A146)+1))=0),RIGHT('Special Help Table'!$A146,LEN('Special Help Table'!$A146)-FIND(", ",'Special Help Table'!$A146))&amp;" "&amp;LEFT('Special Help Table'!$A146,FIND(",",'Special Help Table'!$A146)-1),AND(LEN('Special Help Table'!$A146)-LEN(SUBSTITUTE('Special Help Table'!$A146,"editor",""))=6,LEN('Special Help Table'!$A146)-LEN(SUBSTITUTE('Special Help Table'!$A146,"(",""))=0,LEN('Special Help Table'!$A146)-LEN(SUBSTITUTE('Special Help Table'!$A146,"and",""))=3,LEN('Special Help Table'!$A146)-LEN(SUBSTITUTE('Special Help Table'!$A146,",",""))=1,LEN('Special Help Table'!$A146)-LEN(SUBSTITUTE('Special Help Table'!$A146," ",""))=3),'Special Help Table'!$A146)</f>
        <v xml:space="preserve"> Brian   Cosby</v>
      </c>
      <c r="C146" s="4" t="s">
        <v>325</v>
      </c>
      <c r="D146" s="2"/>
      <c r="E146" s="2" t="s">
        <v>16</v>
      </c>
      <c r="F146" s="2" t="s">
        <v>326</v>
      </c>
      <c r="G146" s="2"/>
      <c r="H146" s="2"/>
      <c r="I146" s="2"/>
      <c r="J146" s="2" t="s">
        <v>77</v>
      </c>
      <c r="K146" s="3">
        <v>43160</v>
      </c>
      <c r="L146" s="2"/>
      <c r="M146" s="2"/>
      <c r="N146" s="2" t="s">
        <v>18</v>
      </c>
    </row>
    <row r="147" spans="1:14" ht="15.75" customHeight="1" x14ac:dyDescent="0.35">
      <c r="A147" s="2" t="s">
        <v>327</v>
      </c>
      <c r="B147" s="2" t="str" cm="1">
        <f t="array" ref="B147">_xlfn.IFS(AND(LEN('Special Help Table'!$A147)-(LEN(SUBSTITUTE('Special Help Table'!$A147,";","")))=0,LEN('Special Help Table'!$A147)-LEN(SUBSTITUTE('Special Help Table'!$A147,",",""))=1,LEN('Special Help Table'!$A147)-LEN(SUBSTITUTE('Special Help Table'!$A147,"and ",""))=0),MID('Special Help Table'!$A147&amp;" "&amp;'Special Help Table'!$A147,SEARCH(", ",'Special Help Table'!$A147)+1,LEN('Special Help Table'!$A147)),AND(LEN('Special Help Table'!$A147)-(LEN(SUBSTITUTE('Special Help Table'!$A147,";","")))=1,LEN('Special Help Table'!$A147)-LEN(SUBSTITUTE('Special Help Table'!$A147,"and ",""))=0),MID('Special Help Table'!$A147,SEARCH(",",'Special Help Table'!$A147)+1,(SEARCH(";",'Special Help Table'!$A147)-1)-SEARCH(",",'Special Help Table'!$A147))&amp;" "&amp;LEFT('Special Help Table'!$A147,SEARCH(",",'Special Help Table'!$A147)-1)&amp;";"&amp;RIGHT('Special Help Table'!$A147,LEN('Special Help Table'!$A147)-SEARCH(",",'Special Help Table'!$A147,SEARCH(";",'Special Help Table'!$A147)))&amp;" "&amp;MID('Special Help Table'!$A147,SEARCH("; ",'Special Help Table'!$A147)+2,SEARCH(",",'Special Help Table'!$A147,SEARCH(";",'Special Help Table'!$A147))-SEARCH(";",'Special Help Table'!$A147)-2),AND(LEN('Special Help Table'!$A147)-LEN(SUBSTITUTE('Special Help Table'!$A147,"and ",""))=0,LEN('Special Help Table'!$A147)-LEN(SUBSTITUTE('Special Help Table'!$A147,";",""))=0),'Special Help Table'!$A147,AND(LEN('Special Help Table'!$A147)-LEN(SUBSTITUTE('Special Help Table'!$A147,",","")=1),LEN('Special Help Table'!$A147)-LEN(SUBSTITUTE('Special Help Table'!$A147," ","")=20),LEN('Special Help Table'!$A147)-LEN(SUBSTITUTE('Special Help Table'!$A147," and",""))=0,LEN('Special Help Table'!$A147)-LEN(SUBSTITUTE('Special Help Table'!$A147,",","",FIND(" ",'Special Help Table'!$A147)+1))=0),RIGHT('Special Help Table'!$A147,LEN('Special Help Table'!$A147)-FIND(", ",'Special Help Table'!$A147))&amp;" "&amp;LEFT('Special Help Table'!$A147,FIND(",",'Special Help Table'!$A147)-1),AND(LEN('Special Help Table'!$A147)-LEN(SUBSTITUTE('Special Help Table'!$A147,"editor",""))=6,LEN('Special Help Table'!$A147)-LEN(SUBSTITUTE('Special Help Table'!$A147,"(",""))=0,LEN('Special Help Table'!$A147)-LEN(SUBSTITUTE('Special Help Table'!$A147,"and",""))=3,LEN('Special Help Table'!$A147)-LEN(SUBSTITUTE('Special Help Table'!$A147,",",""))=1,LEN('Special Help Table'!$A147)-LEN(SUBSTITUTE('Special Help Table'!$A147," ",""))=3),'Special Help Table'!$A147)</f>
        <v xml:space="preserve"> Brian H. Cosby</v>
      </c>
      <c r="C147" s="4" t="s">
        <v>328</v>
      </c>
      <c r="D147" s="2" t="s">
        <v>136</v>
      </c>
      <c r="E147" s="2" t="s">
        <v>16</v>
      </c>
      <c r="F147" s="2" t="s">
        <v>72</v>
      </c>
      <c r="G147" s="2"/>
      <c r="H147" s="2"/>
      <c r="I147" s="2"/>
      <c r="J147" s="2"/>
      <c r="K147" s="3">
        <v>41804</v>
      </c>
      <c r="L147" s="2"/>
      <c r="M147" s="2"/>
      <c r="N147" s="2" t="s">
        <v>18</v>
      </c>
    </row>
    <row r="148" spans="1:14" ht="15.75" customHeight="1" x14ac:dyDescent="0.35">
      <c r="A148" s="2" t="s">
        <v>329</v>
      </c>
      <c r="B148" s="2" t="str" cm="1">
        <f t="array" ref="B148">_xlfn.IFS(AND(LEN('Special Help Table'!$A148)-(LEN(SUBSTITUTE('Special Help Table'!$A148,";","")))=0,LEN('Special Help Table'!$A148)-LEN(SUBSTITUTE('Special Help Table'!$A148,",",""))=1,LEN('Special Help Table'!$A148)-LEN(SUBSTITUTE('Special Help Table'!$A148,"and ",""))=0),MID('Special Help Table'!$A148&amp;" "&amp;'Special Help Table'!$A148,SEARCH(", ",'Special Help Table'!$A148)+1,LEN('Special Help Table'!$A148)),AND(LEN('Special Help Table'!$A148)-(LEN(SUBSTITUTE('Special Help Table'!$A148,";","")))=1,LEN('Special Help Table'!$A148)-LEN(SUBSTITUTE('Special Help Table'!$A148,"and ",""))=0),MID('Special Help Table'!$A148,SEARCH(",",'Special Help Table'!$A148)+1,(SEARCH(";",'Special Help Table'!$A148)-1)-SEARCH(",",'Special Help Table'!$A148))&amp;" "&amp;LEFT('Special Help Table'!$A148,SEARCH(",",'Special Help Table'!$A148)-1)&amp;";"&amp;RIGHT('Special Help Table'!$A148,LEN('Special Help Table'!$A148)-SEARCH(",",'Special Help Table'!$A148,SEARCH(";",'Special Help Table'!$A148)))&amp;" "&amp;MID('Special Help Table'!$A148,SEARCH("; ",'Special Help Table'!$A148)+2,SEARCH(",",'Special Help Table'!$A148,SEARCH(";",'Special Help Table'!$A148))-SEARCH(";",'Special Help Table'!$A148)-2),AND(LEN('Special Help Table'!$A148)-LEN(SUBSTITUTE('Special Help Table'!$A148,"and ",""))=0,LEN('Special Help Table'!$A148)-LEN(SUBSTITUTE('Special Help Table'!$A148,";",""))=0),'Special Help Table'!$A148,AND(LEN('Special Help Table'!$A148)-LEN(SUBSTITUTE('Special Help Table'!$A148,",","")=1),LEN('Special Help Table'!$A148)-LEN(SUBSTITUTE('Special Help Table'!$A148," ","")=20),LEN('Special Help Table'!$A148)-LEN(SUBSTITUTE('Special Help Table'!$A148," and",""))=0,LEN('Special Help Table'!$A148)-LEN(SUBSTITUTE('Special Help Table'!$A148,",","",FIND(" ",'Special Help Table'!$A148)+1))=0),RIGHT('Special Help Table'!$A148,LEN('Special Help Table'!$A148)-FIND(", ",'Special Help Table'!$A148))&amp;" "&amp;LEFT('Special Help Table'!$A148,FIND(",",'Special Help Table'!$A148)-1),AND(LEN('Special Help Table'!$A148)-LEN(SUBSTITUTE('Special Help Table'!$A148,"editor",""))=6,LEN('Special Help Table'!$A148)-LEN(SUBSTITUTE('Special Help Table'!$A148,"(",""))=0,LEN('Special Help Table'!$A148)-LEN(SUBSTITUTE('Special Help Table'!$A148,"and",""))=3,LEN('Special Help Table'!$A148)-LEN(SUBSTITUTE('Special Help Table'!$A148,",",""))=1,LEN('Special Help Table'!$A148)-LEN(SUBSTITUTE('Special Help Table'!$A148," ",""))=3),'Special Help Table'!$A148)</f>
        <v xml:space="preserve"> Kimm Crandall</v>
      </c>
      <c r="C148" s="4" t="s">
        <v>330</v>
      </c>
      <c r="D148" s="2"/>
      <c r="E148" s="2" t="s">
        <v>16</v>
      </c>
      <c r="F148" s="2" t="s">
        <v>17</v>
      </c>
      <c r="G148" s="2"/>
      <c r="H148" s="2"/>
      <c r="I148" s="2"/>
      <c r="J148" s="2" t="s">
        <v>100</v>
      </c>
      <c r="K148" s="3">
        <v>41530</v>
      </c>
      <c r="L148" s="2" t="s">
        <v>331</v>
      </c>
      <c r="M148" s="2"/>
      <c r="N148" s="2" t="s">
        <v>18</v>
      </c>
    </row>
    <row r="149" spans="1:14" ht="15.75" customHeight="1" x14ac:dyDescent="0.35">
      <c r="A149" s="2" t="s">
        <v>332</v>
      </c>
      <c r="B149" s="2" t="str" cm="1">
        <f t="array" ref="B149">_xlfn.IFS(AND(LEN('Special Help Table'!$A149)-(LEN(SUBSTITUTE('Special Help Table'!$A149,";","")))=0,LEN('Special Help Table'!$A149)-LEN(SUBSTITUTE('Special Help Table'!$A149,",",""))=1,LEN('Special Help Table'!$A149)-LEN(SUBSTITUTE('Special Help Table'!$A149,"and ",""))=0),MID('Special Help Table'!$A149&amp;" "&amp;'Special Help Table'!$A149,SEARCH(", ",'Special Help Table'!$A149)+1,LEN('Special Help Table'!$A149)),AND(LEN('Special Help Table'!$A149)-(LEN(SUBSTITUTE('Special Help Table'!$A149,";","")))=1,LEN('Special Help Table'!$A149)-LEN(SUBSTITUTE('Special Help Table'!$A149,"and ",""))=0),MID('Special Help Table'!$A149,SEARCH(",",'Special Help Table'!$A149)+1,(SEARCH(";",'Special Help Table'!$A149)-1)-SEARCH(",",'Special Help Table'!$A149))&amp;" "&amp;LEFT('Special Help Table'!$A149,SEARCH(",",'Special Help Table'!$A149)-1)&amp;";"&amp;RIGHT('Special Help Table'!$A149,LEN('Special Help Table'!$A149)-SEARCH(",",'Special Help Table'!$A149,SEARCH(";",'Special Help Table'!$A149)))&amp;" "&amp;MID('Special Help Table'!$A149,SEARCH("; ",'Special Help Table'!$A149)+2,SEARCH(",",'Special Help Table'!$A149,SEARCH(";",'Special Help Table'!$A149))-SEARCH(";",'Special Help Table'!$A149)-2),AND(LEN('Special Help Table'!$A149)-LEN(SUBSTITUTE('Special Help Table'!$A149,"and ",""))=0,LEN('Special Help Table'!$A149)-LEN(SUBSTITUTE('Special Help Table'!$A149,";",""))=0),'Special Help Table'!$A149,AND(LEN('Special Help Table'!$A149)-LEN(SUBSTITUTE('Special Help Table'!$A149,",","")=1),LEN('Special Help Table'!$A149)-LEN(SUBSTITUTE('Special Help Table'!$A149," ","")=20),LEN('Special Help Table'!$A149)-LEN(SUBSTITUTE('Special Help Table'!$A149," and",""))=0,LEN('Special Help Table'!$A149)-LEN(SUBSTITUTE('Special Help Table'!$A149,",","",FIND(" ",'Special Help Table'!$A149)+1))=0),RIGHT('Special Help Table'!$A149,LEN('Special Help Table'!$A149)-FIND(", ",'Special Help Table'!$A149))&amp;" "&amp;LEFT('Special Help Table'!$A149,FIND(",",'Special Help Table'!$A149)-1),AND(LEN('Special Help Table'!$A149)-LEN(SUBSTITUTE('Special Help Table'!$A149,"editor",""))=6,LEN('Special Help Table'!$A149)-LEN(SUBSTITUTE('Special Help Table'!$A149,"(",""))=0,LEN('Special Help Table'!$A149)-LEN(SUBSTITUTE('Special Help Table'!$A149,"and",""))=3,LEN('Special Help Table'!$A149)-LEN(SUBSTITUTE('Special Help Table'!$A149,",",""))=1,LEN('Special Help Table'!$A149)-LEN(SUBSTITUTE('Special Help Table'!$A149," ",""))=3),'Special Help Table'!$A149)</f>
        <v xml:space="preserve"> Mandy Croce</v>
      </c>
      <c r="C149" s="4" t="s">
        <v>333</v>
      </c>
      <c r="D149" s="2" t="s">
        <v>334</v>
      </c>
      <c r="E149" s="2" t="s">
        <v>16</v>
      </c>
      <c r="F149" s="2" t="s">
        <v>33</v>
      </c>
      <c r="G149" s="2"/>
      <c r="H149" s="2"/>
      <c r="I149" s="2" t="s">
        <v>335</v>
      </c>
      <c r="J149" s="2"/>
      <c r="K149" s="3"/>
      <c r="L149" s="2" t="s">
        <v>331</v>
      </c>
      <c r="M149" s="2"/>
      <c r="N149" s="2" t="s">
        <v>18</v>
      </c>
    </row>
    <row r="150" spans="1:14" ht="15.75" customHeight="1" x14ac:dyDescent="0.35">
      <c r="A150" s="2" t="s">
        <v>336</v>
      </c>
      <c r="B150" s="2" t="str" cm="1">
        <f t="array" ref="B150">_xlfn.IFS(AND(LEN('Special Help Table'!$A150)-(LEN(SUBSTITUTE('Special Help Table'!$A150,";","")))=0,LEN('Special Help Table'!$A150)-LEN(SUBSTITUTE('Special Help Table'!$A150,",",""))=1,LEN('Special Help Table'!$A150)-LEN(SUBSTITUTE('Special Help Table'!$A150,"and ",""))=0),MID('Special Help Table'!$A150&amp;" "&amp;'Special Help Table'!$A150,SEARCH(", ",'Special Help Table'!$A150)+1,LEN('Special Help Table'!$A150)),AND(LEN('Special Help Table'!$A150)-(LEN(SUBSTITUTE('Special Help Table'!$A150,";","")))=1,LEN('Special Help Table'!$A150)-LEN(SUBSTITUTE('Special Help Table'!$A150,"and ",""))=0),MID('Special Help Table'!$A150,SEARCH(",",'Special Help Table'!$A150)+1,(SEARCH(";",'Special Help Table'!$A150)-1)-SEARCH(",",'Special Help Table'!$A150))&amp;" "&amp;LEFT('Special Help Table'!$A150,SEARCH(",",'Special Help Table'!$A150)-1)&amp;";"&amp;RIGHT('Special Help Table'!$A150,LEN('Special Help Table'!$A150)-SEARCH(",",'Special Help Table'!$A150,SEARCH(";",'Special Help Table'!$A150)))&amp;" "&amp;MID('Special Help Table'!$A150,SEARCH("; ",'Special Help Table'!$A150)+2,SEARCH(",",'Special Help Table'!$A150,SEARCH(";",'Special Help Table'!$A150))-SEARCH(";",'Special Help Table'!$A150)-2),AND(LEN('Special Help Table'!$A150)-LEN(SUBSTITUTE('Special Help Table'!$A150,"and ",""))=0,LEN('Special Help Table'!$A150)-LEN(SUBSTITUTE('Special Help Table'!$A150,";",""))=0),'Special Help Table'!$A150,AND(LEN('Special Help Table'!$A150)-LEN(SUBSTITUTE('Special Help Table'!$A150,",","")=1),LEN('Special Help Table'!$A150)-LEN(SUBSTITUTE('Special Help Table'!$A150," ","")=20),LEN('Special Help Table'!$A150)-LEN(SUBSTITUTE('Special Help Table'!$A150," and",""))=0,LEN('Special Help Table'!$A150)-LEN(SUBSTITUTE('Special Help Table'!$A150,",","",FIND(" ",'Special Help Table'!$A150)+1))=0),RIGHT('Special Help Table'!$A150,LEN('Special Help Table'!$A150)-FIND(", ",'Special Help Table'!$A150))&amp;" "&amp;LEFT('Special Help Table'!$A150,FIND(",",'Special Help Table'!$A150)-1),AND(LEN('Special Help Table'!$A150)-LEN(SUBSTITUTE('Special Help Table'!$A150,"editor",""))=6,LEN('Special Help Table'!$A150)-LEN(SUBSTITUTE('Special Help Table'!$A150,"(",""))=0,LEN('Special Help Table'!$A150)-LEN(SUBSTITUTE('Special Help Table'!$A150,"and",""))=3,LEN('Special Help Table'!$A150)-LEN(SUBSTITUTE('Special Help Table'!$A150,",",""))=1,LEN('Special Help Table'!$A150)-LEN(SUBSTITUTE('Special Help Table'!$A150," ",""))=3),'Special Help Table'!$A150)</f>
        <v xml:space="preserve"> John R. Cross</v>
      </c>
      <c r="C150" s="4" t="s">
        <v>337</v>
      </c>
      <c r="D150" s="2"/>
      <c r="E150" s="2" t="s">
        <v>16</v>
      </c>
      <c r="F150" s="2" t="s">
        <v>126</v>
      </c>
      <c r="G150" s="2" t="s">
        <v>76</v>
      </c>
      <c r="H150" s="2"/>
      <c r="I150" s="2"/>
      <c r="J150" s="2"/>
      <c r="K150" s="3">
        <v>40034</v>
      </c>
      <c r="L150" s="2"/>
      <c r="M150" s="2"/>
      <c r="N150" s="2" t="s">
        <v>18</v>
      </c>
    </row>
    <row r="151" spans="1:14" ht="15.75" customHeight="1" x14ac:dyDescent="0.35">
      <c r="A151" s="2" t="s">
        <v>338</v>
      </c>
      <c r="B151" s="2" t="str" cm="1">
        <f t="array" ref="B151">_xlfn.IFS(AND(LEN('Special Help Table'!$A151)-(LEN(SUBSTITUTE('Special Help Table'!$A151,";","")))=0,LEN('Special Help Table'!$A151)-LEN(SUBSTITUTE('Special Help Table'!$A151,",",""))=1,LEN('Special Help Table'!$A151)-LEN(SUBSTITUTE('Special Help Table'!$A151,"and ",""))=0),MID('Special Help Table'!$A151&amp;" "&amp;'Special Help Table'!$A151,SEARCH(", ",'Special Help Table'!$A151)+1,LEN('Special Help Table'!$A151)),AND(LEN('Special Help Table'!$A151)-(LEN(SUBSTITUTE('Special Help Table'!$A151,";","")))=1,LEN('Special Help Table'!$A151)-LEN(SUBSTITUTE('Special Help Table'!$A151,"and ",""))=0),MID('Special Help Table'!$A151,SEARCH(",",'Special Help Table'!$A151)+1,(SEARCH(";",'Special Help Table'!$A151)-1)-SEARCH(",",'Special Help Table'!$A151))&amp;" "&amp;LEFT('Special Help Table'!$A151,SEARCH(",",'Special Help Table'!$A151)-1)&amp;";"&amp;RIGHT('Special Help Table'!$A151,LEN('Special Help Table'!$A151)-SEARCH(",",'Special Help Table'!$A151,SEARCH(";",'Special Help Table'!$A151)))&amp;" "&amp;MID('Special Help Table'!$A151,SEARCH("; ",'Special Help Table'!$A151)+2,SEARCH(",",'Special Help Table'!$A151,SEARCH(";",'Special Help Table'!$A151))-SEARCH(";",'Special Help Table'!$A151)-2),AND(LEN('Special Help Table'!$A151)-LEN(SUBSTITUTE('Special Help Table'!$A151,"and ",""))=0,LEN('Special Help Table'!$A151)-LEN(SUBSTITUTE('Special Help Table'!$A151,";",""))=0),'Special Help Table'!$A151,AND(LEN('Special Help Table'!$A151)-LEN(SUBSTITUTE('Special Help Table'!$A151,",","")=1),LEN('Special Help Table'!$A151)-LEN(SUBSTITUTE('Special Help Table'!$A151," ","")=20),LEN('Special Help Table'!$A151)-LEN(SUBSTITUTE('Special Help Table'!$A151," and",""))=0,LEN('Special Help Table'!$A151)-LEN(SUBSTITUTE('Special Help Table'!$A151,",","",FIND(" ",'Special Help Table'!$A151)+1))=0),RIGHT('Special Help Table'!$A151,LEN('Special Help Table'!$A151)-FIND(", ",'Special Help Table'!$A151))&amp;" "&amp;LEFT('Special Help Table'!$A151,FIND(",",'Special Help Table'!$A151)-1),AND(LEN('Special Help Table'!$A151)-LEN(SUBSTITUTE('Special Help Table'!$A151,"editor",""))=6,LEN('Special Help Table'!$A151)-LEN(SUBSTITUTE('Special Help Table'!$A151,"(",""))=0,LEN('Special Help Table'!$A151)-LEN(SUBSTITUTE('Special Help Table'!$A151,"and",""))=3,LEN('Special Help Table'!$A151)-LEN(SUBSTITUTE('Special Help Table'!$A151,",",""))=1,LEN('Special Help Table'!$A151)-LEN(SUBSTITUTE('Special Help Table'!$A151," ",""))=3),'Special Help Table'!$A151)</f>
        <v xml:space="preserve"> Brandon D. Crowe</v>
      </c>
      <c r="C151" s="4" t="s">
        <v>339</v>
      </c>
      <c r="D151" s="2"/>
      <c r="E151" s="2" t="s">
        <v>16</v>
      </c>
      <c r="F151" s="2" t="s">
        <v>126</v>
      </c>
      <c r="G151" s="2"/>
      <c r="H151" s="2"/>
      <c r="I151" s="2"/>
      <c r="J151" s="2"/>
      <c r="K151" s="3">
        <v>44772</v>
      </c>
      <c r="L151" s="2"/>
      <c r="M151" s="2"/>
      <c r="N151" s="2" t="s">
        <v>18</v>
      </c>
    </row>
    <row r="152" spans="1:14" ht="15.75" customHeight="1" x14ac:dyDescent="0.35">
      <c r="A152" s="2" t="s">
        <v>340</v>
      </c>
      <c r="B152" s="2" t="str" cm="1">
        <f t="array" ref="B152">_xlfn.IFS(AND(LEN('Special Help Table'!$A152)-(LEN(SUBSTITUTE('Special Help Table'!$A152,";","")))=0,LEN('Special Help Table'!$A152)-LEN(SUBSTITUTE('Special Help Table'!$A152,",",""))=1,LEN('Special Help Table'!$A152)-LEN(SUBSTITUTE('Special Help Table'!$A152,"and ",""))=0),MID('Special Help Table'!$A152&amp;" "&amp;'Special Help Table'!$A152,SEARCH(", ",'Special Help Table'!$A152)+1,LEN('Special Help Table'!$A152)),AND(LEN('Special Help Table'!$A152)-(LEN(SUBSTITUTE('Special Help Table'!$A152,";","")))=1,LEN('Special Help Table'!$A152)-LEN(SUBSTITUTE('Special Help Table'!$A152,"and ",""))=0),MID('Special Help Table'!$A152,SEARCH(",",'Special Help Table'!$A152)+1,(SEARCH(";",'Special Help Table'!$A152)-1)-SEARCH(",",'Special Help Table'!$A152))&amp;" "&amp;LEFT('Special Help Table'!$A152,SEARCH(",",'Special Help Table'!$A152)-1)&amp;";"&amp;RIGHT('Special Help Table'!$A152,LEN('Special Help Table'!$A152)-SEARCH(",",'Special Help Table'!$A152,SEARCH(";",'Special Help Table'!$A152)))&amp;" "&amp;MID('Special Help Table'!$A152,SEARCH("; ",'Special Help Table'!$A152)+2,SEARCH(",",'Special Help Table'!$A152,SEARCH(";",'Special Help Table'!$A152))-SEARCH(";",'Special Help Table'!$A152)-2),AND(LEN('Special Help Table'!$A152)-LEN(SUBSTITUTE('Special Help Table'!$A152,"and ",""))=0,LEN('Special Help Table'!$A152)-LEN(SUBSTITUTE('Special Help Table'!$A152,";",""))=0),'Special Help Table'!$A152,AND(LEN('Special Help Table'!$A152)-LEN(SUBSTITUTE('Special Help Table'!$A152,",","")=1),LEN('Special Help Table'!$A152)-LEN(SUBSTITUTE('Special Help Table'!$A152," ","")=20),LEN('Special Help Table'!$A152)-LEN(SUBSTITUTE('Special Help Table'!$A152," and",""))=0,LEN('Special Help Table'!$A152)-LEN(SUBSTITUTE('Special Help Table'!$A152,",","",FIND(" ",'Special Help Table'!$A152)+1))=0),RIGHT('Special Help Table'!$A152,LEN('Special Help Table'!$A152)-FIND(", ",'Special Help Table'!$A152))&amp;" "&amp;LEFT('Special Help Table'!$A152,FIND(",",'Special Help Table'!$A152)-1),AND(LEN('Special Help Table'!$A152)-LEN(SUBSTITUTE('Special Help Table'!$A152,"editor",""))=6,LEN('Special Help Table'!$A152)-LEN(SUBSTITUTE('Special Help Table'!$A152,"(",""))=0,LEN('Special Help Table'!$A152)-LEN(SUBSTITUTE('Special Help Table'!$A152,"and",""))=3,LEN('Special Help Table'!$A152)-LEN(SUBSTITUTE('Special Help Table'!$A152,",",""))=1,LEN('Special Help Table'!$A152)-LEN(SUBSTITUTE('Special Help Table'!$A152," ",""))=3),'Special Help Table'!$A152)</f>
        <v xml:space="preserve"> Jaquelle Crowe</v>
      </c>
      <c r="C152" s="4" t="s">
        <v>341</v>
      </c>
      <c r="D152" s="2"/>
      <c r="E152" s="2" t="s">
        <v>16</v>
      </c>
      <c r="F152" s="2" t="s">
        <v>36</v>
      </c>
      <c r="G152" s="2"/>
      <c r="H152" s="2"/>
      <c r="I152" s="2"/>
      <c r="J152" s="2" t="s">
        <v>152</v>
      </c>
      <c r="K152" s="3">
        <v>42856</v>
      </c>
      <c r="L152" s="2"/>
      <c r="M152" s="2"/>
      <c r="N152" s="2" t="s">
        <v>18</v>
      </c>
    </row>
    <row r="153" spans="1:14" ht="15.75" customHeight="1" x14ac:dyDescent="0.35">
      <c r="A153" s="2" t="s">
        <v>342</v>
      </c>
      <c r="B153" s="2" t="str" cm="1">
        <f t="array" ref="B153">_xlfn.IFS(AND(LEN('Special Help Table'!$A153)-(LEN(SUBSTITUTE('Special Help Table'!$A153,";","")))=0,LEN('Special Help Table'!$A153)-LEN(SUBSTITUTE('Special Help Table'!$A153,",",""))=1,LEN('Special Help Table'!$A153)-LEN(SUBSTITUTE('Special Help Table'!$A153,"and ",""))=0),MID('Special Help Table'!$A153&amp;" "&amp;'Special Help Table'!$A153,SEARCH(", ",'Special Help Table'!$A153)+1,LEN('Special Help Table'!$A153)),AND(LEN('Special Help Table'!$A153)-(LEN(SUBSTITUTE('Special Help Table'!$A153,";","")))=1,LEN('Special Help Table'!$A153)-LEN(SUBSTITUTE('Special Help Table'!$A153,"and ",""))=0),MID('Special Help Table'!$A153,SEARCH(",",'Special Help Table'!$A153)+1,(SEARCH(";",'Special Help Table'!$A153)-1)-SEARCH(",",'Special Help Table'!$A153))&amp;" "&amp;LEFT('Special Help Table'!$A153,SEARCH(",",'Special Help Table'!$A153)-1)&amp;";"&amp;RIGHT('Special Help Table'!$A153,LEN('Special Help Table'!$A153)-SEARCH(",",'Special Help Table'!$A153,SEARCH(";",'Special Help Table'!$A153)))&amp;" "&amp;MID('Special Help Table'!$A153,SEARCH("; ",'Special Help Table'!$A153)+2,SEARCH(",",'Special Help Table'!$A153,SEARCH(";",'Special Help Table'!$A153))-SEARCH(";",'Special Help Table'!$A153)-2),AND(LEN('Special Help Table'!$A153)-LEN(SUBSTITUTE('Special Help Table'!$A153,"and ",""))=0,LEN('Special Help Table'!$A153)-LEN(SUBSTITUTE('Special Help Table'!$A153,";",""))=0),'Special Help Table'!$A153,AND(LEN('Special Help Table'!$A153)-LEN(SUBSTITUTE('Special Help Table'!$A153,",","")=1),LEN('Special Help Table'!$A153)-LEN(SUBSTITUTE('Special Help Table'!$A153," ","")=20),LEN('Special Help Table'!$A153)-LEN(SUBSTITUTE('Special Help Table'!$A153," and",""))=0,LEN('Special Help Table'!$A153)-LEN(SUBSTITUTE('Special Help Table'!$A153,",","",FIND(" ",'Special Help Table'!$A153)+1))=0),RIGHT('Special Help Table'!$A153,LEN('Special Help Table'!$A153)-FIND(", ",'Special Help Table'!$A153))&amp;" "&amp;LEFT('Special Help Table'!$A153,FIND(",",'Special Help Table'!$A153)-1),AND(LEN('Special Help Table'!$A153)-LEN(SUBSTITUTE('Special Help Table'!$A153,"editor",""))=6,LEN('Special Help Table'!$A153)-LEN(SUBSTITUTE('Special Help Table'!$A153,"(",""))=0,LEN('Special Help Table'!$A153)-LEN(SUBSTITUTE('Special Help Table'!$A153,"and",""))=3,LEN('Special Help Table'!$A153)-LEN(SUBSTITUTE('Special Help Table'!$A153,",",""))=1,LEN('Special Help Table'!$A153)-LEN(SUBSTITUTE('Special Help Table'!$A153," ",""))=3),'Special Help Table'!$A153)</f>
        <v xml:space="preserve"> Arnold Dallimore</v>
      </c>
      <c r="C153" s="4" t="s">
        <v>343</v>
      </c>
      <c r="D153" s="2"/>
      <c r="E153" s="2" t="s">
        <v>16</v>
      </c>
      <c r="F153" s="2" t="s">
        <v>39</v>
      </c>
      <c r="G153" s="2"/>
      <c r="H153" s="2"/>
      <c r="I153" s="2"/>
      <c r="J153" s="2"/>
      <c r="K153" s="3">
        <v>40034</v>
      </c>
      <c r="L153" s="2"/>
      <c r="M153" s="2"/>
      <c r="N153" s="2" t="s">
        <v>18</v>
      </c>
    </row>
    <row r="154" spans="1:14" ht="15.75" customHeight="1" x14ac:dyDescent="0.35">
      <c r="A154" s="2" t="s">
        <v>344</v>
      </c>
      <c r="B154" s="2" t="str" cm="1">
        <f t="array" ref="B154">_xlfn.IFS(AND(LEN('Special Help Table'!$A154)-(LEN(SUBSTITUTE('Special Help Table'!$A154,";","")))=0,LEN('Special Help Table'!$A154)-LEN(SUBSTITUTE('Special Help Table'!$A154,",",""))=1,LEN('Special Help Table'!$A154)-LEN(SUBSTITUTE('Special Help Table'!$A154,"and ",""))=0),MID('Special Help Table'!$A154&amp;" "&amp;'Special Help Table'!$A154,SEARCH(", ",'Special Help Table'!$A154)+1,LEN('Special Help Table'!$A154)),AND(LEN('Special Help Table'!$A154)-(LEN(SUBSTITUTE('Special Help Table'!$A154,";","")))=1,LEN('Special Help Table'!$A154)-LEN(SUBSTITUTE('Special Help Table'!$A154,"and ",""))=0),MID('Special Help Table'!$A154,SEARCH(",",'Special Help Table'!$A154)+1,(SEARCH(";",'Special Help Table'!$A154)-1)-SEARCH(",",'Special Help Table'!$A154))&amp;" "&amp;LEFT('Special Help Table'!$A154,SEARCH(",",'Special Help Table'!$A154)-1)&amp;";"&amp;RIGHT('Special Help Table'!$A154,LEN('Special Help Table'!$A154)-SEARCH(",",'Special Help Table'!$A154,SEARCH(";",'Special Help Table'!$A154)))&amp;" "&amp;MID('Special Help Table'!$A154,SEARCH("; ",'Special Help Table'!$A154)+2,SEARCH(",",'Special Help Table'!$A154,SEARCH(";",'Special Help Table'!$A154))-SEARCH(";",'Special Help Table'!$A154)-2),AND(LEN('Special Help Table'!$A154)-LEN(SUBSTITUTE('Special Help Table'!$A154,"and ",""))=0,LEN('Special Help Table'!$A154)-LEN(SUBSTITUTE('Special Help Table'!$A154,";",""))=0),'Special Help Table'!$A154,AND(LEN('Special Help Table'!$A154)-LEN(SUBSTITUTE('Special Help Table'!$A154,",","")=1),LEN('Special Help Table'!$A154)-LEN(SUBSTITUTE('Special Help Table'!$A154," ","")=20),LEN('Special Help Table'!$A154)-LEN(SUBSTITUTE('Special Help Table'!$A154," and",""))=0,LEN('Special Help Table'!$A154)-LEN(SUBSTITUTE('Special Help Table'!$A154,",","",FIND(" ",'Special Help Table'!$A154)+1))=0),RIGHT('Special Help Table'!$A154,LEN('Special Help Table'!$A154)-FIND(", ",'Special Help Table'!$A154))&amp;" "&amp;LEFT('Special Help Table'!$A154,FIND(",",'Special Help Table'!$A154)-1),AND(LEN('Special Help Table'!$A154)-LEN(SUBSTITUTE('Special Help Table'!$A154,"editor",""))=6,LEN('Special Help Table'!$A154)-LEN(SUBSTITUTE('Special Help Table'!$A154,"(",""))=0,LEN('Special Help Table'!$A154)-LEN(SUBSTITUTE('Special Help Table'!$A154,"and",""))=3,LEN('Special Help Table'!$A154)-LEN(SUBSTITUTE('Special Help Table'!$A154,",",""))=1,LEN('Special Help Table'!$A154)-LEN(SUBSTITUTE('Special Help Table'!$A154," ",""))=3),'Special Help Table'!$A154)</f>
        <v xml:space="preserve"> Eryl Davies</v>
      </c>
      <c r="C154" s="4" t="s">
        <v>345</v>
      </c>
      <c r="D154" s="2"/>
      <c r="E154" s="2" t="s">
        <v>16</v>
      </c>
      <c r="F154" s="2" t="s">
        <v>39</v>
      </c>
      <c r="G154" s="2"/>
      <c r="H154" s="2"/>
      <c r="I154" s="2"/>
      <c r="J154" s="2"/>
      <c r="K154" s="3">
        <v>41621</v>
      </c>
      <c r="L154" s="2"/>
      <c r="M154" s="2"/>
      <c r="N154" s="2" t="s">
        <v>18</v>
      </c>
    </row>
    <row r="155" spans="1:14" ht="15.75" customHeight="1" x14ac:dyDescent="0.35">
      <c r="A155" s="2" t="s">
        <v>346</v>
      </c>
      <c r="B155" s="2" t="str" cm="1">
        <f t="array" ref="B155">_xlfn.IFS(AND(LEN('Special Help Table'!$A155)-(LEN(SUBSTITUTE('Special Help Table'!$A155,";","")))=0,LEN('Special Help Table'!$A155)-LEN(SUBSTITUTE('Special Help Table'!$A155,",",""))=1,LEN('Special Help Table'!$A155)-LEN(SUBSTITUTE('Special Help Table'!$A155,"and ",""))=0),MID('Special Help Table'!$A155&amp;" "&amp;'Special Help Table'!$A155,SEARCH(", ",'Special Help Table'!$A155)+1,LEN('Special Help Table'!$A155)),AND(LEN('Special Help Table'!$A155)-(LEN(SUBSTITUTE('Special Help Table'!$A155,";","")))=1,LEN('Special Help Table'!$A155)-LEN(SUBSTITUTE('Special Help Table'!$A155,"and ",""))=0),MID('Special Help Table'!$A155,SEARCH(",",'Special Help Table'!$A155)+1,(SEARCH(";",'Special Help Table'!$A155)-1)-SEARCH(",",'Special Help Table'!$A155))&amp;" "&amp;LEFT('Special Help Table'!$A155,SEARCH(",",'Special Help Table'!$A155)-1)&amp;";"&amp;RIGHT('Special Help Table'!$A155,LEN('Special Help Table'!$A155)-SEARCH(",",'Special Help Table'!$A155,SEARCH(";",'Special Help Table'!$A155)))&amp;" "&amp;MID('Special Help Table'!$A155,SEARCH("; ",'Special Help Table'!$A155)+2,SEARCH(",",'Special Help Table'!$A155,SEARCH(";",'Special Help Table'!$A155))-SEARCH(";",'Special Help Table'!$A155)-2),AND(LEN('Special Help Table'!$A155)-LEN(SUBSTITUTE('Special Help Table'!$A155,"and ",""))=0,LEN('Special Help Table'!$A155)-LEN(SUBSTITUTE('Special Help Table'!$A155,";",""))=0),'Special Help Table'!$A155,AND(LEN('Special Help Table'!$A155)-LEN(SUBSTITUTE('Special Help Table'!$A155,",","")=1),LEN('Special Help Table'!$A155)-LEN(SUBSTITUTE('Special Help Table'!$A155," ","")=20),LEN('Special Help Table'!$A155)-LEN(SUBSTITUTE('Special Help Table'!$A155," and",""))=0,LEN('Special Help Table'!$A155)-LEN(SUBSTITUTE('Special Help Table'!$A155,",","",FIND(" ",'Special Help Table'!$A155)+1))=0),RIGHT('Special Help Table'!$A155,LEN('Special Help Table'!$A155)-FIND(", ",'Special Help Table'!$A155))&amp;" "&amp;LEFT('Special Help Table'!$A155,FIND(",",'Special Help Table'!$A155)-1),AND(LEN('Special Help Table'!$A155)-LEN(SUBSTITUTE('Special Help Table'!$A155,"editor",""))=6,LEN('Special Help Table'!$A155)-LEN(SUBSTITUTE('Special Help Table'!$A155,"(",""))=0,LEN('Special Help Table'!$A155)-LEN(SUBSTITUTE('Special Help Table'!$A155,"and",""))=3,LEN('Special Help Table'!$A155)-LEN(SUBSTITUTE('Special Help Table'!$A155,",",""))=1,LEN('Special Help Table'!$A155)-LEN(SUBSTITUTE('Special Help Table'!$A155," ",""))=3),'Special Help Table'!$A155)</f>
        <v xml:space="preserve"> Jason S. DeRouchie</v>
      </c>
      <c r="C155" s="4" t="s">
        <v>347</v>
      </c>
      <c r="D155" s="2"/>
      <c r="E155" s="2" t="s">
        <v>16</v>
      </c>
      <c r="F155" s="2" t="s">
        <v>76</v>
      </c>
      <c r="G155" s="2"/>
      <c r="H155" s="2"/>
      <c r="I155" s="2"/>
      <c r="J155" s="2"/>
      <c r="K155" s="3">
        <v>42856</v>
      </c>
      <c r="L155" s="2"/>
      <c r="M155" s="2"/>
      <c r="N155" s="2" t="s">
        <v>18</v>
      </c>
    </row>
    <row r="156" spans="1:14" ht="15.75" customHeight="1" x14ac:dyDescent="0.35">
      <c r="A156" s="2" t="s">
        <v>348</v>
      </c>
      <c r="B156" s="2" t="str" cm="1">
        <f t="array" ref="B156">_xlfn.IFS(AND(LEN('Special Help Table'!$A156)-(LEN(SUBSTITUTE('Special Help Table'!$A156,";","")))=0,LEN('Special Help Table'!$A156)-LEN(SUBSTITUTE('Special Help Table'!$A156,",",""))=1,LEN('Special Help Table'!$A156)-LEN(SUBSTITUTE('Special Help Table'!$A156,"and ",""))=0),MID('Special Help Table'!$A156&amp;" "&amp;'Special Help Table'!$A156,SEARCH(", ",'Special Help Table'!$A156)+1,LEN('Special Help Table'!$A156)),AND(LEN('Special Help Table'!$A156)-(LEN(SUBSTITUTE('Special Help Table'!$A156,";","")))=1,LEN('Special Help Table'!$A156)-LEN(SUBSTITUTE('Special Help Table'!$A156,"and ",""))=0),MID('Special Help Table'!$A156,SEARCH(",",'Special Help Table'!$A156)+1,(SEARCH(";",'Special Help Table'!$A156)-1)-SEARCH(",",'Special Help Table'!$A156))&amp;" "&amp;LEFT('Special Help Table'!$A156,SEARCH(",",'Special Help Table'!$A156)-1)&amp;";"&amp;RIGHT('Special Help Table'!$A156,LEN('Special Help Table'!$A156)-SEARCH(",",'Special Help Table'!$A156,SEARCH(";",'Special Help Table'!$A156)))&amp;" "&amp;MID('Special Help Table'!$A156,SEARCH("; ",'Special Help Table'!$A156)+2,SEARCH(",",'Special Help Table'!$A156,SEARCH(";",'Special Help Table'!$A156))-SEARCH(";",'Special Help Table'!$A156)-2),AND(LEN('Special Help Table'!$A156)-LEN(SUBSTITUTE('Special Help Table'!$A156,"and ",""))=0,LEN('Special Help Table'!$A156)-LEN(SUBSTITUTE('Special Help Table'!$A156,";",""))=0),'Special Help Table'!$A156,AND(LEN('Special Help Table'!$A156)-LEN(SUBSTITUTE('Special Help Table'!$A156,",","")=1),LEN('Special Help Table'!$A156)-LEN(SUBSTITUTE('Special Help Table'!$A156," ","")=20),LEN('Special Help Table'!$A156)-LEN(SUBSTITUTE('Special Help Table'!$A156," and",""))=0,LEN('Special Help Table'!$A156)-LEN(SUBSTITUTE('Special Help Table'!$A156,",","",FIND(" ",'Special Help Table'!$A156)+1))=0),RIGHT('Special Help Table'!$A156,LEN('Special Help Table'!$A156)-FIND(", ",'Special Help Table'!$A156))&amp;" "&amp;LEFT('Special Help Table'!$A156,FIND(",",'Special Help Table'!$A156)-1),AND(LEN('Special Help Table'!$A156)-LEN(SUBSTITUTE('Special Help Table'!$A156,"editor",""))=6,LEN('Special Help Table'!$A156)-LEN(SUBSTITUTE('Special Help Table'!$A156,"(",""))=0,LEN('Special Help Table'!$A156)-LEN(SUBSTITUTE('Special Help Table'!$A156,"and",""))=3,LEN('Special Help Table'!$A156)-LEN(SUBSTITUTE('Special Help Table'!$A156,",",""))=1,LEN('Special Help Table'!$A156)-LEN(SUBSTITUTE('Special Help Table'!$A156," ",""))=3),'Special Help Table'!$A156)</f>
        <v xml:space="preserve"> Connie Dever</v>
      </c>
      <c r="C156" s="4" t="s">
        <v>349</v>
      </c>
      <c r="D156" s="2"/>
      <c r="E156" s="2" t="s">
        <v>16</v>
      </c>
      <c r="F156" s="2" t="s">
        <v>17</v>
      </c>
      <c r="G156" s="2"/>
      <c r="H156" s="2"/>
      <c r="I156" s="2"/>
      <c r="J156" s="2" t="s">
        <v>350</v>
      </c>
      <c r="K156" s="3"/>
      <c r="L156" s="2"/>
      <c r="M156" s="2"/>
      <c r="N156" s="2" t="s">
        <v>18</v>
      </c>
    </row>
    <row r="157" spans="1:14" ht="15.75" customHeight="1" x14ac:dyDescent="0.35">
      <c r="A157" s="2" t="s">
        <v>351</v>
      </c>
      <c r="B157" s="2" t="str" cm="1">
        <f t="array" ref="B157">_xlfn.IFS(AND(LEN('Special Help Table'!$A157)-(LEN(SUBSTITUTE('Special Help Table'!$A157,";","")))=0,LEN('Special Help Table'!$A157)-LEN(SUBSTITUTE('Special Help Table'!$A157,",",""))=1,LEN('Special Help Table'!$A157)-LEN(SUBSTITUTE('Special Help Table'!$A157,"and ",""))=0),MID('Special Help Table'!$A157&amp;" "&amp;'Special Help Table'!$A157,SEARCH(", ",'Special Help Table'!$A157)+1,LEN('Special Help Table'!$A157)),AND(LEN('Special Help Table'!$A157)-(LEN(SUBSTITUTE('Special Help Table'!$A157,";","")))=1,LEN('Special Help Table'!$A157)-LEN(SUBSTITUTE('Special Help Table'!$A157,"and ",""))=0),MID('Special Help Table'!$A157,SEARCH(",",'Special Help Table'!$A157)+1,(SEARCH(";",'Special Help Table'!$A157)-1)-SEARCH(",",'Special Help Table'!$A157))&amp;" "&amp;LEFT('Special Help Table'!$A157,SEARCH(",",'Special Help Table'!$A157)-1)&amp;";"&amp;RIGHT('Special Help Table'!$A157,LEN('Special Help Table'!$A157)-SEARCH(",",'Special Help Table'!$A157,SEARCH(";",'Special Help Table'!$A157)))&amp;" "&amp;MID('Special Help Table'!$A157,SEARCH("; ",'Special Help Table'!$A157)+2,SEARCH(",",'Special Help Table'!$A157,SEARCH(";",'Special Help Table'!$A157))-SEARCH(";",'Special Help Table'!$A157)-2),AND(LEN('Special Help Table'!$A157)-LEN(SUBSTITUTE('Special Help Table'!$A157,"and ",""))=0,LEN('Special Help Table'!$A157)-LEN(SUBSTITUTE('Special Help Table'!$A157,";",""))=0),'Special Help Table'!$A157,AND(LEN('Special Help Table'!$A157)-LEN(SUBSTITUTE('Special Help Table'!$A157,",","")=1),LEN('Special Help Table'!$A157)-LEN(SUBSTITUTE('Special Help Table'!$A157," ","")=20),LEN('Special Help Table'!$A157)-LEN(SUBSTITUTE('Special Help Table'!$A157," and",""))=0,LEN('Special Help Table'!$A157)-LEN(SUBSTITUTE('Special Help Table'!$A157,",","",FIND(" ",'Special Help Table'!$A157)+1))=0),RIGHT('Special Help Table'!$A157,LEN('Special Help Table'!$A157)-FIND(", ",'Special Help Table'!$A157))&amp;" "&amp;LEFT('Special Help Table'!$A157,FIND(",",'Special Help Table'!$A157)-1),AND(LEN('Special Help Table'!$A157)-LEN(SUBSTITUTE('Special Help Table'!$A157,"editor",""))=6,LEN('Special Help Table'!$A157)-LEN(SUBSTITUTE('Special Help Table'!$A157,"(",""))=0,LEN('Special Help Table'!$A157)-LEN(SUBSTITUTE('Special Help Table'!$A157,"and",""))=3,LEN('Special Help Table'!$A157)-LEN(SUBSTITUTE('Special Help Table'!$A157,",",""))=1,LEN('Special Help Table'!$A157)-LEN(SUBSTITUTE('Special Help Table'!$A157," ",""))=3),'Special Help Table'!$A157)</f>
        <v xml:space="preserve"> Mark Dever</v>
      </c>
      <c r="C157" s="4" t="s">
        <v>352</v>
      </c>
      <c r="D157" s="2" t="s">
        <v>353</v>
      </c>
      <c r="E157" s="2" t="s">
        <v>16</v>
      </c>
      <c r="F157" s="2" t="s">
        <v>33</v>
      </c>
      <c r="G157" s="2"/>
      <c r="H157" s="2"/>
      <c r="I157" s="2" t="s">
        <v>335</v>
      </c>
      <c r="J157" s="2"/>
      <c r="K157" s="3">
        <v>42231</v>
      </c>
      <c r="L157" s="2"/>
      <c r="M157" s="2"/>
      <c r="N157" s="2" t="s">
        <v>18</v>
      </c>
    </row>
    <row r="158" spans="1:14" ht="15.75" customHeight="1" x14ac:dyDescent="0.35">
      <c r="A158" s="2" t="s">
        <v>351</v>
      </c>
      <c r="B158" s="2" t="str" cm="1">
        <f t="array" ref="B158">_xlfn.IFS(AND(LEN('Special Help Table'!$A158)-(LEN(SUBSTITUTE('Special Help Table'!$A158,";","")))=0,LEN('Special Help Table'!$A158)-LEN(SUBSTITUTE('Special Help Table'!$A158,",",""))=1,LEN('Special Help Table'!$A158)-LEN(SUBSTITUTE('Special Help Table'!$A158,"and ",""))=0),MID('Special Help Table'!$A158&amp;" "&amp;'Special Help Table'!$A158,SEARCH(", ",'Special Help Table'!$A158)+1,LEN('Special Help Table'!$A158)),AND(LEN('Special Help Table'!$A158)-(LEN(SUBSTITUTE('Special Help Table'!$A158,";","")))=1,LEN('Special Help Table'!$A158)-LEN(SUBSTITUTE('Special Help Table'!$A158,"and ",""))=0),MID('Special Help Table'!$A158,SEARCH(",",'Special Help Table'!$A158)+1,(SEARCH(";",'Special Help Table'!$A158)-1)-SEARCH(",",'Special Help Table'!$A158))&amp;" "&amp;LEFT('Special Help Table'!$A158,SEARCH(",",'Special Help Table'!$A158)-1)&amp;";"&amp;RIGHT('Special Help Table'!$A158,LEN('Special Help Table'!$A158)-SEARCH(",",'Special Help Table'!$A158,SEARCH(";",'Special Help Table'!$A158)))&amp;" "&amp;MID('Special Help Table'!$A158,SEARCH("; ",'Special Help Table'!$A158)+2,SEARCH(",",'Special Help Table'!$A158,SEARCH(";",'Special Help Table'!$A158))-SEARCH(";",'Special Help Table'!$A158)-2),AND(LEN('Special Help Table'!$A158)-LEN(SUBSTITUTE('Special Help Table'!$A158,"and ",""))=0,LEN('Special Help Table'!$A158)-LEN(SUBSTITUTE('Special Help Table'!$A158,";",""))=0),'Special Help Table'!$A158,AND(LEN('Special Help Table'!$A158)-LEN(SUBSTITUTE('Special Help Table'!$A158,",","")=1),LEN('Special Help Table'!$A158)-LEN(SUBSTITUTE('Special Help Table'!$A158," ","")=20),LEN('Special Help Table'!$A158)-LEN(SUBSTITUTE('Special Help Table'!$A158," and",""))=0,LEN('Special Help Table'!$A158)-LEN(SUBSTITUTE('Special Help Table'!$A158,",","",FIND(" ",'Special Help Table'!$A158)+1))=0),RIGHT('Special Help Table'!$A158,LEN('Special Help Table'!$A158)-FIND(", ",'Special Help Table'!$A158))&amp;" "&amp;LEFT('Special Help Table'!$A158,FIND(",",'Special Help Table'!$A158)-1),AND(LEN('Special Help Table'!$A158)-LEN(SUBSTITUTE('Special Help Table'!$A158,"editor",""))=6,LEN('Special Help Table'!$A158)-LEN(SUBSTITUTE('Special Help Table'!$A158,"(",""))=0,LEN('Special Help Table'!$A158)-LEN(SUBSTITUTE('Special Help Table'!$A158,"and",""))=3,LEN('Special Help Table'!$A158)-LEN(SUBSTITUTE('Special Help Table'!$A158,",",""))=1,LEN('Special Help Table'!$A158)-LEN(SUBSTITUTE('Special Help Table'!$A158," ",""))=3),'Special Help Table'!$A158)</f>
        <v xml:space="preserve"> Mark Dever</v>
      </c>
      <c r="C158" s="4" t="s">
        <v>354</v>
      </c>
      <c r="D158" s="2" t="s">
        <v>355</v>
      </c>
      <c r="E158" s="2" t="s">
        <v>16</v>
      </c>
      <c r="F158" s="2" t="s">
        <v>33</v>
      </c>
      <c r="G158" s="2"/>
      <c r="H158" s="2"/>
      <c r="I158" s="2" t="s">
        <v>335</v>
      </c>
      <c r="J158" s="2"/>
      <c r="K158" s="3">
        <v>40034</v>
      </c>
      <c r="L158" s="2"/>
      <c r="M158" s="2"/>
      <c r="N158" s="2" t="s">
        <v>18</v>
      </c>
    </row>
    <row r="159" spans="1:14" ht="15.75" customHeight="1" x14ac:dyDescent="0.35">
      <c r="A159" s="2" t="s">
        <v>351</v>
      </c>
      <c r="B159" s="2" t="str" cm="1">
        <f t="array" ref="B159">_xlfn.IFS(AND(LEN('Special Help Table'!$A159)-(LEN(SUBSTITUTE('Special Help Table'!$A159,";","")))=0,LEN('Special Help Table'!$A159)-LEN(SUBSTITUTE('Special Help Table'!$A159,",",""))=1,LEN('Special Help Table'!$A159)-LEN(SUBSTITUTE('Special Help Table'!$A159,"and ",""))=0),MID('Special Help Table'!$A159&amp;" "&amp;'Special Help Table'!$A159,SEARCH(", ",'Special Help Table'!$A159)+1,LEN('Special Help Table'!$A159)),AND(LEN('Special Help Table'!$A159)-(LEN(SUBSTITUTE('Special Help Table'!$A159,";","")))=1,LEN('Special Help Table'!$A159)-LEN(SUBSTITUTE('Special Help Table'!$A159,"and ",""))=0),MID('Special Help Table'!$A159,SEARCH(",",'Special Help Table'!$A159)+1,(SEARCH(";",'Special Help Table'!$A159)-1)-SEARCH(",",'Special Help Table'!$A159))&amp;" "&amp;LEFT('Special Help Table'!$A159,SEARCH(",",'Special Help Table'!$A159)-1)&amp;";"&amp;RIGHT('Special Help Table'!$A159,LEN('Special Help Table'!$A159)-SEARCH(",",'Special Help Table'!$A159,SEARCH(";",'Special Help Table'!$A159)))&amp;" "&amp;MID('Special Help Table'!$A159,SEARCH("; ",'Special Help Table'!$A159)+2,SEARCH(",",'Special Help Table'!$A159,SEARCH(";",'Special Help Table'!$A159))-SEARCH(";",'Special Help Table'!$A159)-2),AND(LEN('Special Help Table'!$A159)-LEN(SUBSTITUTE('Special Help Table'!$A159,"and ",""))=0,LEN('Special Help Table'!$A159)-LEN(SUBSTITUTE('Special Help Table'!$A159,";",""))=0),'Special Help Table'!$A159,AND(LEN('Special Help Table'!$A159)-LEN(SUBSTITUTE('Special Help Table'!$A159,",","")=1),LEN('Special Help Table'!$A159)-LEN(SUBSTITUTE('Special Help Table'!$A159," ","")=20),LEN('Special Help Table'!$A159)-LEN(SUBSTITUTE('Special Help Table'!$A159," and",""))=0,LEN('Special Help Table'!$A159)-LEN(SUBSTITUTE('Special Help Table'!$A159,",","",FIND(" ",'Special Help Table'!$A159)+1))=0),RIGHT('Special Help Table'!$A159,LEN('Special Help Table'!$A159)-FIND(", ",'Special Help Table'!$A159))&amp;" "&amp;LEFT('Special Help Table'!$A159,FIND(",",'Special Help Table'!$A159)-1),AND(LEN('Special Help Table'!$A159)-LEN(SUBSTITUTE('Special Help Table'!$A159,"editor",""))=6,LEN('Special Help Table'!$A159)-LEN(SUBSTITUTE('Special Help Table'!$A159,"(",""))=0,LEN('Special Help Table'!$A159)-LEN(SUBSTITUTE('Special Help Table'!$A159,"and",""))=3,LEN('Special Help Table'!$A159)-LEN(SUBSTITUTE('Special Help Table'!$A159,",",""))=1,LEN('Special Help Table'!$A159)-LEN(SUBSTITUTE('Special Help Table'!$A159," ",""))=3),'Special Help Table'!$A159)</f>
        <v xml:space="preserve"> Mark Dever</v>
      </c>
      <c r="C159" s="4" t="s">
        <v>356</v>
      </c>
      <c r="D159" s="2" t="s">
        <v>307</v>
      </c>
      <c r="E159" s="2" t="s">
        <v>16</v>
      </c>
      <c r="F159" s="2" t="s">
        <v>33</v>
      </c>
      <c r="G159" s="2"/>
      <c r="H159" s="2" t="s">
        <v>307</v>
      </c>
      <c r="I159" s="2"/>
      <c r="J159" s="2"/>
      <c r="K159" s="3">
        <v>40034</v>
      </c>
      <c r="L159" s="2"/>
      <c r="M159" s="2"/>
      <c r="N159" s="2" t="s">
        <v>18</v>
      </c>
    </row>
    <row r="160" spans="1:14" ht="15.75" customHeight="1" x14ac:dyDescent="0.35">
      <c r="A160" s="2" t="s">
        <v>351</v>
      </c>
      <c r="B160" s="2" t="str" cm="1">
        <f t="array" ref="B160">_xlfn.IFS(AND(LEN('Special Help Table'!$A160)-(LEN(SUBSTITUTE('Special Help Table'!$A160,";","")))=0,LEN('Special Help Table'!$A160)-LEN(SUBSTITUTE('Special Help Table'!$A160,",",""))=1,LEN('Special Help Table'!$A160)-LEN(SUBSTITUTE('Special Help Table'!$A160,"and ",""))=0),MID('Special Help Table'!$A160&amp;" "&amp;'Special Help Table'!$A160,SEARCH(", ",'Special Help Table'!$A160)+1,LEN('Special Help Table'!$A160)),AND(LEN('Special Help Table'!$A160)-(LEN(SUBSTITUTE('Special Help Table'!$A160,";","")))=1,LEN('Special Help Table'!$A160)-LEN(SUBSTITUTE('Special Help Table'!$A160,"and ",""))=0),MID('Special Help Table'!$A160,SEARCH(",",'Special Help Table'!$A160)+1,(SEARCH(";",'Special Help Table'!$A160)-1)-SEARCH(",",'Special Help Table'!$A160))&amp;" "&amp;LEFT('Special Help Table'!$A160,SEARCH(",",'Special Help Table'!$A160)-1)&amp;";"&amp;RIGHT('Special Help Table'!$A160,LEN('Special Help Table'!$A160)-SEARCH(",",'Special Help Table'!$A160,SEARCH(";",'Special Help Table'!$A160)))&amp;" "&amp;MID('Special Help Table'!$A160,SEARCH("; ",'Special Help Table'!$A160)+2,SEARCH(",",'Special Help Table'!$A160,SEARCH(";",'Special Help Table'!$A160))-SEARCH(";",'Special Help Table'!$A160)-2),AND(LEN('Special Help Table'!$A160)-LEN(SUBSTITUTE('Special Help Table'!$A160,"and ",""))=0,LEN('Special Help Table'!$A160)-LEN(SUBSTITUTE('Special Help Table'!$A160,";",""))=0),'Special Help Table'!$A160,AND(LEN('Special Help Table'!$A160)-LEN(SUBSTITUTE('Special Help Table'!$A160,",","")=1),LEN('Special Help Table'!$A160)-LEN(SUBSTITUTE('Special Help Table'!$A160," ","")=20),LEN('Special Help Table'!$A160)-LEN(SUBSTITUTE('Special Help Table'!$A160," and",""))=0,LEN('Special Help Table'!$A160)-LEN(SUBSTITUTE('Special Help Table'!$A160,",","",FIND(" ",'Special Help Table'!$A160)+1))=0),RIGHT('Special Help Table'!$A160,LEN('Special Help Table'!$A160)-FIND(", ",'Special Help Table'!$A160))&amp;" "&amp;LEFT('Special Help Table'!$A160,FIND(",",'Special Help Table'!$A160)-1),AND(LEN('Special Help Table'!$A160)-LEN(SUBSTITUTE('Special Help Table'!$A160,"editor",""))=6,LEN('Special Help Table'!$A160)-LEN(SUBSTITUTE('Special Help Table'!$A160,"(",""))=0,LEN('Special Help Table'!$A160)-LEN(SUBSTITUTE('Special Help Table'!$A160,"and",""))=3,LEN('Special Help Table'!$A160)-LEN(SUBSTITUTE('Special Help Table'!$A160,",",""))=1,LEN('Special Help Table'!$A160)-LEN(SUBSTITUTE('Special Help Table'!$A160," ",""))=3),'Special Help Table'!$A160)</f>
        <v xml:space="preserve"> Mark Dever</v>
      </c>
      <c r="C160" s="4" t="s">
        <v>357</v>
      </c>
      <c r="D160" s="2"/>
      <c r="E160" s="2" t="s">
        <v>16</v>
      </c>
      <c r="F160" s="2" t="s">
        <v>20</v>
      </c>
      <c r="G160" s="2"/>
      <c r="H160" s="2"/>
      <c r="I160" s="2"/>
      <c r="J160" s="2" t="s">
        <v>109</v>
      </c>
      <c r="K160" s="3">
        <v>42856</v>
      </c>
      <c r="L160" s="2"/>
      <c r="M160" s="2"/>
      <c r="N160" s="2" t="s">
        <v>18</v>
      </c>
    </row>
    <row r="161" spans="1:14" ht="15.75" customHeight="1" x14ac:dyDescent="0.35">
      <c r="A161" s="2" t="s">
        <v>351</v>
      </c>
      <c r="B161" s="2" t="str" cm="1">
        <f t="array" ref="B161">_xlfn.IFS(AND(LEN('Special Help Table'!$A161)-(LEN(SUBSTITUTE('Special Help Table'!$A161,";","")))=0,LEN('Special Help Table'!$A161)-LEN(SUBSTITUTE('Special Help Table'!$A161,",",""))=1,LEN('Special Help Table'!$A161)-LEN(SUBSTITUTE('Special Help Table'!$A161,"and ",""))=0),MID('Special Help Table'!$A161&amp;" "&amp;'Special Help Table'!$A161,SEARCH(", ",'Special Help Table'!$A161)+1,LEN('Special Help Table'!$A161)),AND(LEN('Special Help Table'!$A161)-(LEN(SUBSTITUTE('Special Help Table'!$A161,";","")))=1,LEN('Special Help Table'!$A161)-LEN(SUBSTITUTE('Special Help Table'!$A161,"and ",""))=0),MID('Special Help Table'!$A161,SEARCH(",",'Special Help Table'!$A161)+1,(SEARCH(";",'Special Help Table'!$A161)-1)-SEARCH(",",'Special Help Table'!$A161))&amp;" "&amp;LEFT('Special Help Table'!$A161,SEARCH(",",'Special Help Table'!$A161)-1)&amp;";"&amp;RIGHT('Special Help Table'!$A161,LEN('Special Help Table'!$A161)-SEARCH(",",'Special Help Table'!$A161,SEARCH(";",'Special Help Table'!$A161)))&amp;" "&amp;MID('Special Help Table'!$A161,SEARCH("; ",'Special Help Table'!$A161)+2,SEARCH(",",'Special Help Table'!$A161,SEARCH(";",'Special Help Table'!$A161))-SEARCH(";",'Special Help Table'!$A161)-2),AND(LEN('Special Help Table'!$A161)-LEN(SUBSTITUTE('Special Help Table'!$A161,"and ",""))=0,LEN('Special Help Table'!$A161)-LEN(SUBSTITUTE('Special Help Table'!$A161,";",""))=0),'Special Help Table'!$A161,AND(LEN('Special Help Table'!$A161)-LEN(SUBSTITUTE('Special Help Table'!$A161,",","")=1),LEN('Special Help Table'!$A161)-LEN(SUBSTITUTE('Special Help Table'!$A161," ","")=20),LEN('Special Help Table'!$A161)-LEN(SUBSTITUTE('Special Help Table'!$A161," and",""))=0,LEN('Special Help Table'!$A161)-LEN(SUBSTITUTE('Special Help Table'!$A161,",","",FIND(" ",'Special Help Table'!$A161)+1))=0),RIGHT('Special Help Table'!$A161,LEN('Special Help Table'!$A161)-FIND(", ",'Special Help Table'!$A161))&amp;" "&amp;LEFT('Special Help Table'!$A161,FIND(",",'Special Help Table'!$A161)-1),AND(LEN('Special Help Table'!$A161)-LEN(SUBSTITUTE('Special Help Table'!$A161,"editor",""))=6,LEN('Special Help Table'!$A161)-LEN(SUBSTITUTE('Special Help Table'!$A161,"(",""))=0,LEN('Special Help Table'!$A161)-LEN(SUBSTITUTE('Special Help Table'!$A161,"and",""))=3,LEN('Special Help Table'!$A161)-LEN(SUBSTITUTE('Special Help Table'!$A161,",",""))=1,LEN('Special Help Table'!$A161)-LEN(SUBSTITUTE('Special Help Table'!$A161," ",""))=3),'Special Help Table'!$A161)</f>
        <v xml:space="preserve"> Mark Dever</v>
      </c>
      <c r="C161" s="4" t="s">
        <v>358</v>
      </c>
      <c r="D161" s="2"/>
      <c r="E161" s="2" t="s">
        <v>16</v>
      </c>
      <c r="F161" s="2" t="s">
        <v>126</v>
      </c>
      <c r="G161" s="2"/>
      <c r="H161" s="2"/>
      <c r="I161" s="2"/>
      <c r="J161" s="2" t="s">
        <v>359</v>
      </c>
      <c r="K161" s="3">
        <v>40034</v>
      </c>
      <c r="L161" s="2"/>
      <c r="M161" s="2"/>
      <c r="N161" s="2" t="s">
        <v>18</v>
      </c>
    </row>
    <row r="162" spans="1:14" ht="15.75" customHeight="1" x14ac:dyDescent="0.35">
      <c r="A162" s="2" t="s">
        <v>351</v>
      </c>
      <c r="B162" s="2" t="str" cm="1">
        <f t="array" ref="B162">_xlfn.IFS(AND(LEN('Special Help Table'!$A162)-(LEN(SUBSTITUTE('Special Help Table'!$A162,";","")))=0,LEN('Special Help Table'!$A162)-LEN(SUBSTITUTE('Special Help Table'!$A162,",",""))=1,LEN('Special Help Table'!$A162)-LEN(SUBSTITUTE('Special Help Table'!$A162,"and ",""))=0),MID('Special Help Table'!$A162&amp;" "&amp;'Special Help Table'!$A162,SEARCH(", ",'Special Help Table'!$A162)+1,LEN('Special Help Table'!$A162)),AND(LEN('Special Help Table'!$A162)-(LEN(SUBSTITUTE('Special Help Table'!$A162,";","")))=1,LEN('Special Help Table'!$A162)-LEN(SUBSTITUTE('Special Help Table'!$A162,"and ",""))=0),MID('Special Help Table'!$A162,SEARCH(",",'Special Help Table'!$A162)+1,(SEARCH(";",'Special Help Table'!$A162)-1)-SEARCH(",",'Special Help Table'!$A162))&amp;" "&amp;LEFT('Special Help Table'!$A162,SEARCH(",",'Special Help Table'!$A162)-1)&amp;";"&amp;RIGHT('Special Help Table'!$A162,LEN('Special Help Table'!$A162)-SEARCH(",",'Special Help Table'!$A162,SEARCH(";",'Special Help Table'!$A162)))&amp;" "&amp;MID('Special Help Table'!$A162,SEARCH("; ",'Special Help Table'!$A162)+2,SEARCH(",",'Special Help Table'!$A162,SEARCH(";",'Special Help Table'!$A162))-SEARCH(";",'Special Help Table'!$A162)-2),AND(LEN('Special Help Table'!$A162)-LEN(SUBSTITUTE('Special Help Table'!$A162,"and ",""))=0,LEN('Special Help Table'!$A162)-LEN(SUBSTITUTE('Special Help Table'!$A162,";",""))=0),'Special Help Table'!$A162,AND(LEN('Special Help Table'!$A162)-LEN(SUBSTITUTE('Special Help Table'!$A162,",","")=1),LEN('Special Help Table'!$A162)-LEN(SUBSTITUTE('Special Help Table'!$A162," ","")=20),LEN('Special Help Table'!$A162)-LEN(SUBSTITUTE('Special Help Table'!$A162," and",""))=0,LEN('Special Help Table'!$A162)-LEN(SUBSTITUTE('Special Help Table'!$A162,",","",FIND(" ",'Special Help Table'!$A162)+1))=0),RIGHT('Special Help Table'!$A162,LEN('Special Help Table'!$A162)-FIND(", ",'Special Help Table'!$A162))&amp;" "&amp;LEFT('Special Help Table'!$A162,FIND(",",'Special Help Table'!$A162)-1),AND(LEN('Special Help Table'!$A162)-LEN(SUBSTITUTE('Special Help Table'!$A162,"editor",""))=6,LEN('Special Help Table'!$A162)-LEN(SUBSTITUTE('Special Help Table'!$A162,"(",""))=0,LEN('Special Help Table'!$A162)-LEN(SUBSTITUTE('Special Help Table'!$A162,"and",""))=3,LEN('Special Help Table'!$A162)-LEN(SUBSTITUTE('Special Help Table'!$A162,",",""))=1,LEN('Special Help Table'!$A162)-LEN(SUBSTITUTE('Special Help Table'!$A162," ",""))=3),'Special Help Table'!$A162)</f>
        <v xml:space="preserve"> Mark Dever</v>
      </c>
      <c r="C162" s="4" t="s">
        <v>360</v>
      </c>
      <c r="D162" s="2" t="s">
        <v>307</v>
      </c>
      <c r="E162" s="2" t="s">
        <v>16</v>
      </c>
      <c r="F162" s="2" t="s">
        <v>33</v>
      </c>
      <c r="G162" s="2"/>
      <c r="H162" s="2" t="s">
        <v>307</v>
      </c>
      <c r="I162" s="2"/>
      <c r="J162" s="2"/>
      <c r="K162" s="3">
        <v>42561</v>
      </c>
      <c r="L162" s="2"/>
      <c r="M162" s="2"/>
      <c r="N162" s="2" t="s">
        <v>18</v>
      </c>
    </row>
    <row r="163" spans="1:14" ht="15.75" customHeight="1" x14ac:dyDescent="0.35">
      <c r="A163" s="2" t="s">
        <v>351</v>
      </c>
      <c r="B163" s="2" t="str" cm="1">
        <f t="array" ref="B163">_xlfn.IFS(AND(LEN('Special Help Table'!$A163)-(LEN(SUBSTITUTE('Special Help Table'!$A163,";","")))=0,LEN('Special Help Table'!$A163)-LEN(SUBSTITUTE('Special Help Table'!$A163,",",""))=1,LEN('Special Help Table'!$A163)-LEN(SUBSTITUTE('Special Help Table'!$A163,"and ",""))=0),MID('Special Help Table'!$A163&amp;" "&amp;'Special Help Table'!$A163,SEARCH(", ",'Special Help Table'!$A163)+1,LEN('Special Help Table'!$A163)),AND(LEN('Special Help Table'!$A163)-(LEN(SUBSTITUTE('Special Help Table'!$A163,";","")))=1,LEN('Special Help Table'!$A163)-LEN(SUBSTITUTE('Special Help Table'!$A163,"and ",""))=0),MID('Special Help Table'!$A163,SEARCH(",",'Special Help Table'!$A163)+1,(SEARCH(";",'Special Help Table'!$A163)-1)-SEARCH(",",'Special Help Table'!$A163))&amp;" "&amp;LEFT('Special Help Table'!$A163,SEARCH(",",'Special Help Table'!$A163)-1)&amp;";"&amp;RIGHT('Special Help Table'!$A163,LEN('Special Help Table'!$A163)-SEARCH(",",'Special Help Table'!$A163,SEARCH(";",'Special Help Table'!$A163)))&amp;" "&amp;MID('Special Help Table'!$A163,SEARCH("; ",'Special Help Table'!$A163)+2,SEARCH(",",'Special Help Table'!$A163,SEARCH(";",'Special Help Table'!$A163))-SEARCH(";",'Special Help Table'!$A163)-2),AND(LEN('Special Help Table'!$A163)-LEN(SUBSTITUTE('Special Help Table'!$A163,"and ",""))=0,LEN('Special Help Table'!$A163)-LEN(SUBSTITUTE('Special Help Table'!$A163,";",""))=0),'Special Help Table'!$A163,AND(LEN('Special Help Table'!$A163)-LEN(SUBSTITUTE('Special Help Table'!$A163,",","")=1),LEN('Special Help Table'!$A163)-LEN(SUBSTITUTE('Special Help Table'!$A163," ","")=20),LEN('Special Help Table'!$A163)-LEN(SUBSTITUTE('Special Help Table'!$A163," and",""))=0,LEN('Special Help Table'!$A163)-LEN(SUBSTITUTE('Special Help Table'!$A163,",","",FIND(" ",'Special Help Table'!$A163)+1))=0),RIGHT('Special Help Table'!$A163,LEN('Special Help Table'!$A163)-FIND(", ",'Special Help Table'!$A163))&amp;" "&amp;LEFT('Special Help Table'!$A163,FIND(",",'Special Help Table'!$A163)-1),AND(LEN('Special Help Table'!$A163)-LEN(SUBSTITUTE('Special Help Table'!$A163,"editor",""))=6,LEN('Special Help Table'!$A163)-LEN(SUBSTITUTE('Special Help Table'!$A163,"(",""))=0,LEN('Special Help Table'!$A163)-LEN(SUBSTITUTE('Special Help Table'!$A163,"and",""))=3,LEN('Special Help Table'!$A163)-LEN(SUBSTITUTE('Special Help Table'!$A163,",",""))=1,LEN('Special Help Table'!$A163)-LEN(SUBSTITUTE('Special Help Table'!$A163," ",""))=3),'Special Help Table'!$A163)</f>
        <v xml:space="preserve"> Mark Dever</v>
      </c>
      <c r="C163" s="4" t="s">
        <v>361</v>
      </c>
      <c r="D163" s="2" t="s">
        <v>307</v>
      </c>
      <c r="E163" s="2" t="s">
        <v>16</v>
      </c>
      <c r="F163" s="2" t="s">
        <v>33</v>
      </c>
      <c r="G163" s="2"/>
      <c r="H163" s="2" t="s">
        <v>307</v>
      </c>
      <c r="I163" s="2"/>
      <c r="J163" s="2"/>
      <c r="K163" s="3">
        <v>42705</v>
      </c>
      <c r="L163" s="2"/>
      <c r="M163" s="2"/>
      <c r="N163" s="2" t="s">
        <v>18</v>
      </c>
    </row>
    <row r="164" spans="1:14" ht="15.75" customHeight="1" x14ac:dyDescent="0.35">
      <c r="A164" s="2" t="s">
        <v>351</v>
      </c>
      <c r="B164" s="2" t="str" cm="1">
        <f t="array" ref="B164">_xlfn.IFS(AND(LEN('Special Help Table'!$A164)-(LEN(SUBSTITUTE('Special Help Table'!$A164,";","")))=0,LEN('Special Help Table'!$A164)-LEN(SUBSTITUTE('Special Help Table'!$A164,",",""))=1,LEN('Special Help Table'!$A164)-LEN(SUBSTITUTE('Special Help Table'!$A164,"and ",""))=0),MID('Special Help Table'!$A164&amp;" "&amp;'Special Help Table'!$A164,SEARCH(", ",'Special Help Table'!$A164)+1,LEN('Special Help Table'!$A164)),AND(LEN('Special Help Table'!$A164)-(LEN(SUBSTITUTE('Special Help Table'!$A164,";","")))=1,LEN('Special Help Table'!$A164)-LEN(SUBSTITUTE('Special Help Table'!$A164,"and ",""))=0),MID('Special Help Table'!$A164,SEARCH(",",'Special Help Table'!$A164)+1,(SEARCH(";",'Special Help Table'!$A164)-1)-SEARCH(",",'Special Help Table'!$A164))&amp;" "&amp;LEFT('Special Help Table'!$A164,SEARCH(",",'Special Help Table'!$A164)-1)&amp;";"&amp;RIGHT('Special Help Table'!$A164,LEN('Special Help Table'!$A164)-SEARCH(",",'Special Help Table'!$A164,SEARCH(";",'Special Help Table'!$A164)))&amp;" "&amp;MID('Special Help Table'!$A164,SEARCH("; ",'Special Help Table'!$A164)+2,SEARCH(",",'Special Help Table'!$A164,SEARCH(";",'Special Help Table'!$A164))-SEARCH(";",'Special Help Table'!$A164)-2),AND(LEN('Special Help Table'!$A164)-LEN(SUBSTITUTE('Special Help Table'!$A164,"and ",""))=0,LEN('Special Help Table'!$A164)-LEN(SUBSTITUTE('Special Help Table'!$A164,";",""))=0),'Special Help Table'!$A164,AND(LEN('Special Help Table'!$A164)-LEN(SUBSTITUTE('Special Help Table'!$A164,",","")=1),LEN('Special Help Table'!$A164)-LEN(SUBSTITUTE('Special Help Table'!$A164," ","")=20),LEN('Special Help Table'!$A164)-LEN(SUBSTITUTE('Special Help Table'!$A164," and",""))=0,LEN('Special Help Table'!$A164)-LEN(SUBSTITUTE('Special Help Table'!$A164,",","",FIND(" ",'Special Help Table'!$A164)+1))=0),RIGHT('Special Help Table'!$A164,LEN('Special Help Table'!$A164)-FIND(", ",'Special Help Table'!$A164))&amp;" "&amp;LEFT('Special Help Table'!$A164,FIND(",",'Special Help Table'!$A164)-1),AND(LEN('Special Help Table'!$A164)-LEN(SUBSTITUTE('Special Help Table'!$A164,"editor",""))=6,LEN('Special Help Table'!$A164)-LEN(SUBSTITUTE('Special Help Table'!$A164,"(",""))=0,LEN('Special Help Table'!$A164)-LEN(SUBSTITUTE('Special Help Table'!$A164,"and",""))=3,LEN('Special Help Table'!$A164)-LEN(SUBSTITUTE('Special Help Table'!$A164,",",""))=1,LEN('Special Help Table'!$A164)-LEN(SUBSTITUTE('Special Help Table'!$A164," ",""))=3),'Special Help Table'!$A164)</f>
        <v xml:space="preserve"> Mark Dever</v>
      </c>
      <c r="C164" s="4" t="s">
        <v>362</v>
      </c>
      <c r="D164" s="2" t="s">
        <v>363</v>
      </c>
      <c r="E164" s="2" t="s">
        <v>16</v>
      </c>
      <c r="F164" s="2" t="s">
        <v>33</v>
      </c>
      <c r="G164" s="2"/>
      <c r="H164" s="2"/>
      <c r="I164" s="2"/>
      <c r="J164" s="2"/>
      <c r="K164" s="3">
        <v>43211</v>
      </c>
      <c r="L164" s="2"/>
      <c r="M164" s="2"/>
      <c r="N164" s="2" t="s">
        <v>18</v>
      </c>
    </row>
    <row r="165" spans="1:14" ht="15.75" customHeight="1" x14ac:dyDescent="0.35">
      <c r="A165" s="2" t="s">
        <v>351</v>
      </c>
      <c r="B165" s="2" t="str" cm="1">
        <f t="array" ref="B165">_xlfn.IFS(AND(LEN('Special Help Table'!$A165)-(LEN(SUBSTITUTE('Special Help Table'!$A165,";","")))=0,LEN('Special Help Table'!$A165)-LEN(SUBSTITUTE('Special Help Table'!$A165,",",""))=1,LEN('Special Help Table'!$A165)-LEN(SUBSTITUTE('Special Help Table'!$A165,"and ",""))=0),MID('Special Help Table'!$A165&amp;" "&amp;'Special Help Table'!$A165,SEARCH(", ",'Special Help Table'!$A165)+1,LEN('Special Help Table'!$A165)),AND(LEN('Special Help Table'!$A165)-(LEN(SUBSTITUTE('Special Help Table'!$A165,";","")))=1,LEN('Special Help Table'!$A165)-LEN(SUBSTITUTE('Special Help Table'!$A165,"and ",""))=0),MID('Special Help Table'!$A165,SEARCH(",",'Special Help Table'!$A165)+1,(SEARCH(";",'Special Help Table'!$A165)-1)-SEARCH(",",'Special Help Table'!$A165))&amp;" "&amp;LEFT('Special Help Table'!$A165,SEARCH(",",'Special Help Table'!$A165)-1)&amp;";"&amp;RIGHT('Special Help Table'!$A165,LEN('Special Help Table'!$A165)-SEARCH(",",'Special Help Table'!$A165,SEARCH(";",'Special Help Table'!$A165)))&amp;" "&amp;MID('Special Help Table'!$A165,SEARCH("; ",'Special Help Table'!$A165)+2,SEARCH(",",'Special Help Table'!$A165,SEARCH(";",'Special Help Table'!$A165))-SEARCH(";",'Special Help Table'!$A165)-2),AND(LEN('Special Help Table'!$A165)-LEN(SUBSTITUTE('Special Help Table'!$A165,"and ",""))=0,LEN('Special Help Table'!$A165)-LEN(SUBSTITUTE('Special Help Table'!$A165,";",""))=0),'Special Help Table'!$A165,AND(LEN('Special Help Table'!$A165)-LEN(SUBSTITUTE('Special Help Table'!$A165,",","")=1),LEN('Special Help Table'!$A165)-LEN(SUBSTITUTE('Special Help Table'!$A165," ","")=20),LEN('Special Help Table'!$A165)-LEN(SUBSTITUTE('Special Help Table'!$A165," and",""))=0,LEN('Special Help Table'!$A165)-LEN(SUBSTITUTE('Special Help Table'!$A165,",","",FIND(" ",'Special Help Table'!$A165)+1))=0),RIGHT('Special Help Table'!$A165,LEN('Special Help Table'!$A165)-FIND(", ",'Special Help Table'!$A165))&amp;" "&amp;LEFT('Special Help Table'!$A165,FIND(",",'Special Help Table'!$A165)-1),AND(LEN('Special Help Table'!$A165)-LEN(SUBSTITUTE('Special Help Table'!$A165,"editor",""))=6,LEN('Special Help Table'!$A165)-LEN(SUBSTITUTE('Special Help Table'!$A165,"(",""))=0,LEN('Special Help Table'!$A165)-LEN(SUBSTITUTE('Special Help Table'!$A165,"and",""))=3,LEN('Special Help Table'!$A165)-LEN(SUBSTITUTE('Special Help Table'!$A165,",",""))=1,LEN('Special Help Table'!$A165)-LEN(SUBSTITUTE('Special Help Table'!$A165," ",""))=3),'Special Help Table'!$A165)</f>
        <v xml:space="preserve"> Mark Dever</v>
      </c>
      <c r="C165" s="4" t="s">
        <v>364</v>
      </c>
      <c r="D165" s="2" t="s">
        <v>365</v>
      </c>
      <c r="E165" s="2" t="s">
        <v>16</v>
      </c>
      <c r="F165" s="2" t="s">
        <v>76</v>
      </c>
      <c r="G165" s="2"/>
      <c r="H165" s="2" t="s">
        <v>307</v>
      </c>
      <c r="I165" s="2"/>
      <c r="J165" s="2"/>
      <c r="K165" s="3">
        <v>43704</v>
      </c>
      <c r="L165" s="2"/>
      <c r="M165" s="2"/>
      <c r="N165" s="2" t="s">
        <v>18</v>
      </c>
    </row>
    <row r="166" spans="1:14" ht="15.75" customHeight="1" x14ac:dyDescent="0.35">
      <c r="A166" s="2" t="s">
        <v>351</v>
      </c>
      <c r="B166" s="2" t="str" cm="1">
        <f t="array" ref="B166">_xlfn.IFS(AND(LEN('Special Help Table'!$A166)-(LEN(SUBSTITUTE('Special Help Table'!$A166,";","")))=0,LEN('Special Help Table'!$A166)-LEN(SUBSTITUTE('Special Help Table'!$A166,",",""))=1,LEN('Special Help Table'!$A166)-LEN(SUBSTITUTE('Special Help Table'!$A166,"and ",""))=0),MID('Special Help Table'!$A166&amp;" "&amp;'Special Help Table'!$A166,SEARCH(", ",'Special Help Table'!$A166)+1,LEN('Special Help Table'!$A166)),AND(LEN('Special Help Table'!$A166)-(LEN(SUBSTITUTE('Special Help Table'!$A166,";","")))=1,LEN('Special Help Table'!$A166)-LEN(SUBSTITUTE('Special Help Table'!$A166,"and ",""))=0),MID('Special Help Table'!$A166,SEARCH(",",'Special Help Table'!$A166)+1,(SEARCH(";",'Special Help Table'!$A166)-1)-SEARCH(",",'Special Help Table'!$A166))&amp;" "&amp;LEFT('Special Help Table'!$A166,SEARCH(",",'Special Help Table'!$A166)-1)&amp;";"&amp;RIGHT('Special Help Table'!$A166,LEN('Special Help Table'!$A166)-SEARCH(",",'Special Help Table'!$A166,SEARCH(";",'Special Help Table'!$A166)))&amp;" "&amp;MID('Special Help Table'!$A166,SEARCH("; ",'Special Help Table'!$A166)+2,SEARCH(",",'Special Help Table'!$A166,SEARCH(";",'Special Help Table'!$A166))-SEARCH(";",'Special Help Table'!$A166)-2),AND(LEN('Special Help Table'!$A166)-LEN(SUBSTITUTE('Special Help Table'!$A166,"and ",""))=0,LEN('Special Help Table'!$A166)-LEN(SUBSTITUTE('Special Help Table'!$A166,";",""))=0),'Special Help Table'!$A166,AND(LEN('Special Help Table'!$A166)-LEN(SUBSTITUTE('Special Help Table'!$A166,",","")=1),LEN('Special Help Table'!$A166)-LEN(SUBSTITUTE('Special Help Table'!$A166," ","")=20),LEN('Special Help Table'!$A166)-LEN(SUBSTITUTE('Special Help Table'!$A166," and",""))=0,LEN('Special Help Table'!$A166)-LEN(SUBSTITUTE('Special Help Table'!$A166,",","",FIND(" ",'Special Help Table'!$A166)+1))=0),RIGHT('Special Help Table'!$A166,LEN('Special Help Table'!$A166)-FIND(", ",'Special Help Table'!$A166))&amp;" "&amp;LEFT('Special Help Table'!$A166,FIND(",",'Special Help Table'!$A166)-1),AND(LEN('Special Help Table'!$A166)-LEN(SUBSTITUTE('Special Help Table'!$A166,"editor",""))=6,LEN('Special Help Table'!$A166)-LEN(SUBSTITUTE('Special Help Table'!$A166,"(",""))=0,LEN('Special Help Table'!$A166)-LEN(SUBSTITUTE('Special Help Table'!$A166,"and",""))=3,LEN('Special Help Table'!$A166)-LEN(SUBSTITUTE('Special Help Table'!$A166,",",""))=1,LEN('Special Help Table'!$A166)-LEN(SUBSTITUTE('Special Help Table'!$A166," ",""))=3),'Special Help Table'!$A166)</f>
        <v xml:space="preserve"> Mark Dever</v>
      </c>
      <c r="C166" s="4" t="s">
        <v>366</v>
      </c>
      <c r="D166" s="2" t="s">
        <v>307</v>
      </c>
      <c r="E166" s="2" t="s">
        <v>16</v>
      </c>
      <c r="F166" s="2" t="s">
        <v>33</v>
      </c>
      <c r="G166" s="2"/>
      <c r="H166" s="2" t="s">
        <v>307</v>
      </c>
      <c r="I166" s="2"/>
      <c r="J166" s="2"/>
      <c r="K166" s="3">
        <v>40034</v>
      </c>
      <c r="L166" s="2"/>
      <c r="M166" s="2"/>
      <c r="N166" s="2" t="s">
        <v>18</v>
      </c>
    </row>
    <row r="167" spans="1:14" ht="15.75" customHeight="1" x14ac:dyDescent="0.35">
      <c r="A167" s="2" t="s">
        <v>367</v>
      </c>
      <c r="B167" s="2" t="str" cm="1">
        <f t="array" ref="B167">_xlfn.IFS(AND(LEN('Special Help Table'!$A167)-(LEN(SUBSTITUTE('Special Help Table'!$A167,";","")))=0,LEN('Special Help Table'!$A167)-LEN(SUBSTITUTE('Special Help Table'!$A167,",",""))=1,LEN('Special Help Table'!$A167)-LEN(SUBSTITUTE('Special Help Table'!$A167,"and ",""))=0),MID('Special Help Table'!$A167&amp;" "&amp;'Special Help Table'!$A167,SEARCH(", ",'Special Help Table'!$A167)+1,LEN('Special Help Table'!$A167)),AND(LEN('Special Help Table'!$A167)-(LEN(SUBSTITUTE('Special Help Table'!$A167,";","")))=1,LEN('Special Help Table'!$A167)-LEN(SUBSTITUTE('Special Help Table'!$A167,"and ",""))=0),MID('Special Help Table'!$A167,SEARCH(",",'Special Help Table'!$A167)+1,(SEARCH(";",'Special Help Table'!$A167)-1)-SEARCH(",",'Special Help Table'!$A167))&amp;" "&amp;LEFT('Special Help Table'!$A167,SEARCH(",",'Special Help Table'!$A167)-1)&amp;";"&amp;RIGHT('Special Help Table'!$A167,LEN('Special Help Table'!$A167)-SEARCH(",",'Special Help Table'!$A167,SEARCH(";",'Special Help Table'!$A167)))&amp;" "&amp;MID('Special Help Table'!$A167,SEARCH("; ",'Special Help Table'!$A167)+2,SEARCH(",",'Special Help Table'!$A167,SEARCH(";",'Special Help Table'!$A167))-SEARCH(";",'Special Help Table'!$A167)-2),AND(LEN('Special Help Table'!$A167)-LEN(SUBSTITUTE('Special Help Table'!$A167,"and ",""))=0,LEN('Special Help Table'!$A167)-LEN(SUBSTITUTE('Special Help Table'!$A167,";",""))=0),'Special Help Table'!$A167,AND(LEN('Special Help Table'!$A167)-LEN(SUBSTITUTE('Special Help Table'!$A167,",","")=1),LEN('Special Help Table'!$A167)-LEN(SUBSTITUTE('Special Help Table'!$A167," ","")=20),LEN('Special Help Table'!$A167)-LEN(SUBSTITUTE('Special Help Table'!$A167," and",""))=0,LEN('Special Help Table'!$A167)-LEN(SUBSTITUTE('Special Help Table'!$A167,",","",FIND(" ",'Special Help Table'!$A167)+1))=0),RIGHT('Special Help Table'!$A167,LEN('Special Help Table'!$A167)-FIND(", ",'Special Help Table'!$A167))&amp;" "&amp;LEFT('Special Help Table'!$A167,FIND(",",'Special Help Table'!$A167)-1),AND(LEN('Special Help Table'!$A167)-LEN(SUBSTITUTE('Special Help Table'!$A167,"editor",""))=6,LEN('Special Help Table'!$A167)-LEN(SUBSTITUTE('Special Help Table'!$A167,"(",""))=0,LEN('Special Help Table'!$A167)-LEN(SUBSTITUTE('Special Help Table'!$A167,"and",""))=3,LEN('Special Help Table'!$A167)-LEN(SUBSTITUTE('Special Help Table'!$A167,",",""))=1,LEN('Special Help Table'!$A167)-LEN(SUBSTITUTE('Special Help Table'!$A167," ",""))=3),'Special Help Table'!$A167)</f>
        <v xml:space="preserve"> Kevin DeYoung</v>
      </c>
      <c r="C167" s="4" t="s">
        <v>368</v>
      </c>
      <c r="D167" s="2"/>
      <c r="E167" s="2" t="s">
        <v>16</v>
      </c>
      <c r="F167" s="2" t="s">
        <v>36</v>
      </c>
      <c r="G167" s="2"/>
      <c r="H167" s="2"/>
      <c r="I167" s="2"/>
      <c r="J167" s="2" t="s">
        <v>369</v>
      </c>
      <c r="K167" s="3">
        <v>41621</v>
      </c>
      <c r="L167" s="2"/>
      <c r="M167" s="2"/>
      <c r="N167" s="2" t="s">
        <v>18</v>
      </c>
    </row>
    <row r="168" spans="1:14" ht="15.75" customHeight="1" x14ac:dyDescent="0.35">
      <c r="A168" s="2" t="s">
        <v>367</v>
      </c>
      <c r="B168" s="2" t="str" cm="1">
        <f t="array" ref="B168">_xlfn.IFS(AND(LEN('Special Help Table'!$A168)-(LEN(SUBSTITUTE('Special Help Table'!$A168,";","")))=0,LEN('Special Help Table'!$A168)-LEN(SUBSTITUTE('Special Help Table'!$A168,",",""))=1,LEN('Special Help Table'!$A168)-LEN(SUBSTITUTE('Special Help Table'!$A168,"and ",""))=0),MID('Special Help Table'!$A168&amp;" "&amp;'Special Help Table'!$A168,SEARCH(", ",'Special Help Table'!$A168)+1,LEN('Special Help Table'!$A168)),AND(LEN('Special Help Table'!$A168)-(LEN(SUBSTITUTE('Special Help Table'!$A168,";","")))=1,LEN('Special Help Table'!$A168)-LEN(SUBSTITUTE('Special Help Table'!$A168,"and ",""))=0),MID('Special Help Table'!$A168,SEARCH(",",'Special Help Table'!$A168)+1,(SEARCH(";",'Special Help Table'!$A168)-1)-SEARCH(",",'Special Help Table'!$A168))&amp;" "&amp;LEFT('Special Help Table'!$A168,SEARCH(",",'Special Help Table'!$A168)-1)&amp;";"&amp;RIGHT('Special Help Table'!$A168,LEN('Special Help Table'!$A168)-SEARCH(",",'Special Help Table'!$A168,SEARCH(";",'Special Help Table'!$A168)))&amp;" "&amp;MID('Special Help Table'!$A168,SEARCH("; ",'Special Help Table'!$A168)+2,SEARCH(",",'Special Help Table'!$A168,SEARCH(";",'Special Help Table'!$A168))-SEARCH(";",'Special Help Table'!$A168)-2),AND(LEN('Special Help Table'!$A168)-LEN(SUBSTITUTE('Special Help Table'!$A168,"and ",""))=0,LEN('Special Help Table'!$A168)-LEN(SUBSTITUTE('Special Help Table'!$A168,";",""))=0),'Special Help Table'!$A168,AND(LEN('Special Help Table'!$A168)-LEN(SUBSTITUTE('Special Help Table'!$A168,",","")=1),LEN('Special Help Table'!$A168)-LEN(SUBSTITUTE('Special Help Table'!$A168," ","")=20),LEN('Special Help Table'!$A168)-LEN(SUBSTITUTE('Special Help Table'!$A168," and",""))=0,LEN('Special Help Table'!$A168)-LEN(SUBSTITUTE('Special Help Table'!$A168,",","",FIND(" ",'Special Help Table'!$A168)+1))=0),RIGHT('Special Help Table'!$A168,LEN('Special Help Table'!$A168)-FIND(", ",'Special Help Table'!$A168))&amp;" "&amp;LEFT('Special Help Table'!$A168,FIND(",",'Special Help Table'!$A168)-1),AND(LEN('Special Help Table'!$A168)-LEN(SUBSTITUTE('Special Help Table'!$A168,"editor",""))=6,LEN('Special Help Table'!$A168)-LEN(SUBSTITUTE('Special Help Table'!$A168,"(",""))=0,LEN('Special Help Table'!$A168)-LEN(SUBSTITUTE('Special Help Table'!$A168,"and",""))=3,LEN('Special Help Table'!$A168)-LEN(SUBSTITUTE('Special Help Table'!$A168,",",""))=1,LEN('Special Help Table'!$A168)-LEN(SUBSTITUTE('Special Help Table'!$A168," ",""))=3),'Special Help Table'!$A168)</f>
        <v xml:space="preserve"> Kevin DeYoung</v>
      </c>
      <c r="C168" s="4" t="s">
        <v>370</v>
      </c>
      <c r="D168" s="2"/>
      <c r="E168" s="2" t="s">
        <v>16</v>
      </c>
      <c r="F168" s="2" t="s">
        <v>36</v>
      </c>
      <c r="G168" s="2"/>
      <c r="H168" s="2"/>
      <c r="I168" s="2"/>
      <c r="J168" s="2" t="s">
        <v>152</v>
      </c>
      <c r="K168" s="3"/>
      <c r="L168" s="2"/>
      <c r="M168" s="2"/>
      <c r="N168" s="2" t="s">
        <v>18</v>
      </c>
    </row>
    <row r="169" spans="1:14" ht="15.75" customHeight="1" x14ac:dyDescent="0.35">
      <c r="A169" s="2" t="s">
        <v>367</v>
      </c>
      <c r="B169" s="2" t="str" cm="1">
        <f t="array" ref="B169">_xlfn.IFS(AND(LEN('Special Help Table'!$A169)-(LEN(SUBSTITUTE('Special Help Table'!$A169,";","")))=0,LEN('Special Help Table'!$A169)-LEN(SUBSTITUTE('Special Help Table'!$A169,",",""))=1,LEN('Special Help Table'!$A169)-LEN(SUBSTITUTE('Special Help Table'!$A169,"and ",""))=0),MID('Special Help Table'!$A169&amp;" "&amp;'Special Help Table'!$A169,SEARCH(", ",'Special Help Table'!$A169)+1,LEN('Special Help Table'!$A169)),AND(LEN('Special Help Table'!$A169)-(LEN(SUBSTITUTE('Special Help Table'!$A169,";","")))=1,LEN('Special Help Table'!$A169)-LEN(SUBSTITUTE('Special Help Table'!$A169,"and ",""))=0),MID('Special Help Table'!$A169,SEARCH(",",'Special Help Table'!$A169)+1,(SEARCH(";",'Special Help Table'!$A169)-1)-SEARCH(",",'Special Help Table'!$A169))&amp;" "&amp;LEFT('Special Help Table'!$A169,SEARCH(",",'Special Help Table'!$A169)-1)&amp;";"&amp;RIGHT('Special Help Table'!$A169,LEN('Special Help Table'!$A169)-SEARCH(",",'Special Help Table'!$A169,SEARCH(";",'Special Help Table'!$A169)))&amp;" "&amp;MID('Special Help Table'!$A169,SEARCH("; ",'Special Help Table'!$A169)+2,SEARCH(",",'Special Help Table'!$A169,SEARCH(";",'Special Help Table'!$A169))-SEARCH(";",'Special Help Table'!$A169)-2),AND(LEN('Special Help Table'!$A169)-LEN(SUBSTITUTE('Special Help Table'!$A169,"and ",""))=0,LEN('Special Help Table'!$A169)-LEN(SUBSTITUTE('Special Help Table'!$A169,";",""))=0),'Special Help Table'!$A169,AND(LEN('Special Help Table'!$A169)-LEN(SUBSTITUTE('Special Help Table'!$A169,",","")=1),LEN('Special Help Table'!$A169)-LEN(SUBSTITUTE('Special Help Table'!$A169," ","")=20),LEN('Special Help Table'!$A169)-LEN(SUBSTITUTE('Special Help Table'!$A169," and",""))=0,LEN('Special Help Table'!$A169)-LEN(SUBSTITUTE('Special Help Table'!$A169,",","",FIND(" ",'Special Help Table'!$A169)+1))=0),RIGHT('Special Help Table'!$A169,LEN('Special Help Table'!$A169)-FIND(", ",'Special Help Table'!$A169))&amp;" "&amp;LEFT('Special Help Table'!$A169,FIND(",",'Special Help Table'!$A169)-1),AND(LEN('Special Help Table'!$A169)-LEN(SUBSTITUTE('Special Help Table'!$A169,"editor",""))=6,LEN('Special Help Table'!$A169)-LEN(SUBSTITUTE('Special Help Table'!$A169,"(",""))=0,LEN('Special Help Table'!$A169)-LEN(SUBSTITUTE('Special Help Table'!$A169,"and",""))=3,LEN('Special Help Table'!$A169)-LEN(SUBSTITUTE('Special Help Table'!$A169,",",""))=1,LEN('Special Help Table'!$A169)-LEN(SUBSTITUTE('Special Help Table'!$A169," ",""))=3),'Special Help Table'!$A169)</f>
        <v xml:space="preserve"> Kevin DeYoung</v>
      </c>
      <c r="C169" s="4" t="s">
        <v>371</v>
      </c>
      <c r="D169" s="2"/>
      <c r="E169" s="2" t="s">
        <v>16</v>
      </c>
      <c r="F169" s="2" t="s">
        <v>28</v>
      </c>
      <c r="G169" s="2"/>
      <c r="H169" s="2"/>
      <c r="I169" s="2"/>
      <c r="J169" s="2" t="s">
        <v>372</v>
      </c>
      <c r="K169" s="3">
        <v>44423</v>
      </c>
      <c r="L169" s="2"/>
      <c r="M169" s="2"/>
      <c r="N169" s="2" t="s">
        <v>18</v>
      </c>
    </row>
    <row r="170" spans="1:14" ht="15.75" customHeight="1" x14ac:dyDescent="0.35">
      <c r="A170" s="2" t="s">
        <v>367</v>
      </c>
      <c r="B170" s="2" t="str" cm="1">
        <f t="array" ref="B170">_xlfn.IFS(AND(LEN('Special Help Table'!$A170)-(LEN(SUBSTITUTE('Special Help Table'!$A170,";","")))=0,LEN('Special Help Table'!$A170)-LEN(SUBSTITUTE('Special Help Table'!$A170,",",""))=1,LEN('Special Help Table'!$A170)-LEN(SUBSTITUTE('Special Help Table'!$A170,"and ",""))=0),MID('Special Help Table'!$A170&amp;" "&amp;'Special Help Table'!$A170,SEARCH(", ",'Special Help Table'!$A170)+1,LEN('Special Help Table'!$A170)),AND(LEN('Special Help Table'!$A170)-(LEN(SUBSTITUTE('Special Help Table'!$A170,";","")))=1,LEN('Special Help Table'!$A170)-LEN(SUBSTITUTE('Special Help Table'!$A170,"and ",""))=0),MID('Special Help Table'!$A170,SEARCH(",",'Special Help Table'!$A170)+1,(SEARCH(";",'Special Help Table'!$A170)-1)-SEARCH(",",'Special Help Table'!$A170))&amp;" "&amp;LEFT('Special Help Table'!$A170,SEARCH(",",'Special Help Table'!$A170)-1)&amp;";"&amp;RIGHT('Special Help Table'!$A170,LEN('Special Help Table'!$A170)-SEARCH(",",'Special Help Table'!$A170,SEARCH(";",'Special Help Table'!$A170)))&amp;" "&amp;MID('Special Help Table'!$A170,SEARCH("; ",'Special Help Table'!$A170)+2,SEARCH(",",'Special Help Table'!$A170,SEARCH(";",'Special Help Table'!$A170))-SEARCH(";",'Special Help Table'!$A170)-2),AND(LEN('Special Help Table'!$A170)-LEN(SUBSTITUTE('Special Help Table'!$A170,"and ",""))=0,LEN('Special Help Table'!$A170)-LEN(SUBSTITUTE('Special Help Table'!$A170,";",""))=0),'Special Help Table'!$A170,AND(LEN('Special Help Table'!$A170)-LEN(SUBSTITUTE('Special Help Table'!$A170,",","")=1),LEN('Special Help Table'!$A170)-LEN(SUBSTITUTE('Special Help Table'!$A170," ","")=20),LEN('Special Help Table'!$A170)-LEN(SUBSTITUTE('Special Help Table'!$A170," and",""))=0,LEN('Special Help Table'!$A170)-LEN(SUBSTITUTE('Special Help Table'!$A170,",","",FIND(" ",'Special Help Table'!$A170)+1))=0),RIGHT('Special Help Table'!$A170,LEN('Special Help Table'!$A170)-FIND(", ",'Special Help Table'!$A170))&amp;" "&amp;LEFT('Special Help Table'!$A170,FIND(",",'Special Help Table'!$A170)-1),AND(LEN('Special Help Table'!$A170)-LEN(SUBSTITUTE('Special Help Table'!$A170,"editor",""))=6,LEN('Special Help Table'!$A170)-LEN(SUBSTITUTE('Special Help Table'!$A170,"(",""))=0,LEN('Special Help Table'!$A170)-LEN(SUBSTITUTE('Special Help Table'!$A170,"and",""))=3,LEN('Special Help Table'!$A170)-LEN(SUBSTITUTE('Special Help Table'!$A170,",",""))=1,LEN('Special Help Table'!$A170)-LEN(SUBSTITUTE('Special Help Table'!$A170," ",""))=3),'Special Help Table'!$A170)</f>
        <v xml:space="preserve"> Kevin DeYoung</v>
      </c>
      <c r="C170" s="4" t="s">
        <v>373</v>
      </c>
      <c r="D170" s="2"/>
      <c r="E170" s="2" t="s">
        <v>16</v>
      </c>
      <c r="F170" s="2" t="s">
        <v>17</v>
      </c>
      <c r="G170" s="2"/>
      <c r="H170" s="2"/>
      <c r="I170" s="2"/>
      <c r="J170" s="2" t="s">
        <v>31</v>
      </c>
      <c r="K170" s="3">
        <v>42200</v>
      </c>
      <c r="L170" s="2"/>
      <c r="M170" s="2"/>
      <c r="N170" s="2" t="s">
        <v>18</v>
      </c>
    </row>
    <row r="171" spans="1:14" ht="15.75" customHeight="1" x14ac:dyDescent="0.35">
      <c r="A171" s="2" t="s">
        <v>374</v>
      </c>
      <c r="B171" s="2" t="str" cm="1">
        <f t="array" ref="B171">_xlfn.IFS(AND(LEN('Special Help Table'!$A171)-(LEN(SUBSTITUTE('Special Help Table'!$A171,";","")))=0,LEN('Special Help Table'!$A171)-LEN(SUBSTITUTE('Special Help Table'!$A171,",",""))=1,LEN('Special Help Table'!$A171)-LEN(SUBSTITUTE('Special Help Table'!$A171,"and ",""))=0),MID('Special Help Table'!$A171&amp;" "&amp;'Special Help Table'!$A171,SEARCH(", ",'Special Help Table'!$A171)+1,LEN('Special Help Table'!$A171)),AND(LEN('Special Help Table'!$A171)-(LEN(SUBSTITUTE('Special Help Table'!$A171,";","")))=1,LEN('Special Help Table'!$A171)-LEN(SUBSTITUTE('Special Help Table'!$A171,"and ",""))=0),MID('Special Help Table'!$A171,SEARCH(",",'Special Help Table'!$A171)+1,(SEARCH(";",'Special Help Table'!$A171)-1)-SEARCH(",",'Special Help Table'!$A171))&amp;" "&amp;LEFT('Special Help Table'!$A171,SEARCH(",",'Special Help Table'!$A171)-1)&amp;";"&amp;RIGHT('Special Help Table'!$A171,LEN('Special Help Table'!$A171)-SEARCH(",",'Special Help Table'!$A171,SEARCH(";",'Special Help Table'!$A171)))&amp;" "&amp;MID('Special Help Table'!$A171,SEARCH("; ",'Special Help Table'!$A171)+2,SEARCH(",",'Special Help Table'!$A171,SEARCH(";",'Special Help Table'!$A171))-SEARCH(";",'Special Help Table'!$A171)-2),AND(LEN('Special Help Table'!$A171)-LEN(SUBSTITUTE('Special Help Table'!$A171,"and ",""))=0,LEN('Special Help Table'!$A171)-LEN(SUBSTITUTE('Special Help Table'!$A171,";",""))=0),'Special Help Table'!$A171,AND(LEN('Special Help Table'!$A171)-LEN(SUBSTITUTE('Special Help Table'!$A171,",","")=1),LEN('Special Help Table'!$A171)-LEN(SUBSTITUTE('Special Help Table'!$A171," ","")=20),LEN('Special Help Table'!$A171)-LEN(SUBSTITUTE('Special Help Table'!$A171," and",""))=0,LEN('Special Help Table'!$A171)-LEN(SUBSTITUTE('Special Help Table'!$A171,",","",FIND(" ",'Special Help Table'!$A171)+1))=0),RIGHT('Special Help Table'!$A171,LEN('Special Help Table'!$A171)-FIND(", ",'Special Help Table'!$A171))&amp;" "&amp;LEFT('Special Help Table'!$A171,FIND(",",'Special Help Table'!$A171)-1),AND(LEN('Special Help Table'!$A171)-LEN(SUBSTITUTE('Special Help Table'!$A171,"editor",""))=6,LEN('Special Help Table'!$A171)-LEN(SUBSTITUTE('Special Help Table'!$A171,"(",""))=0,LEN('Special Help Table'!$A171)-LEN(SUBSTITUTE('Special Help Table'!$A171,"and",""))=3,LEN('Special Help Table'!$A171)-LEN(SUBSTITUTE('Special Help Table'!$A171,",",""))=1,LEN('Special Help Table'!$A171)-LEN(SUBSTITUTE('Special Help Table'!$A171," ",""))=3),'Special Help Table'!$A171)</f>
        <v xml:space="preserve"> Kevin DeYoung; Ted Kluck</v>
      </c>
      <c r="C171" s="4" t="s">
        <v>375</v>
      </c>
      <c r="D171" s="2" t="s">
        <v>376</v>
      </c>
      <c r="E171" s="2" t="s">
        <v>16</v>
      </c>
      <c r="F171" s="2" t="s">
        <v>33</v>
      </c>
      <c r="G171" s="2"/>
      <c r="H171" s="2"/>
      <c r="I171" s="2"/>
      <c r="J171" s="2"/>
      <c r="K171" s="3">
        <v>40431</v>
      </c>
      <c r="L171" s="2"/>
      <c r="M171" s="2"/>
      <c r="N171" s="2" t="s">
        <v>18</v>
      </c>
    </row>
    <row r="172" spans="1:14" ht="15.75" customHeight="1" x14ac:dyDescent="0.35">
      <c r="A172" s="2" t="s">
        <v>377</v>
      </c>
      <c r="B172" s="2" t="str" cm="1">
        <f t="array" ref="B172">_xlfn.IFS(AND(LEN('Special Help Table'!$A172)-(LEN(SUBSTITUTE('Special Help Table'!$A172,";","")))=0,LEN('Special Help Table'!$A172)-LEN(SUBSTITUTE('Special Help Table'!$A172,",",""))=1,LEN('Special Help Table'!$A172)-LEN(SUBSTITUTE('Special Help Table'!$A172,"and ",""))=0),MID('Special Help Table'!$A172&amp;" "&amp;'Special Help Table'!$A172,SEARCH(", ",'Special Help Table'!$A172)+1,LEN('Special Help Table'!$A172)),AND(LEN('Special Help Table'!$A172)-(LEN(SUBSTITUTE('Special Help Table'!$A172,";","")))=1,LEN('Special Help Table'!$A172)-LEN(SUBSTITUTE('Special Help Table'!$A172,"and ",""))=0),MID('Special Help Table'!$A172,SEARCH(",",'Special Help Table'!$A172)+1,(SEARCH(";",'Special Help Table'!$A172)-1)-SEARCH(",",'Special Help Table'!$A172))&amp;" "&amp;LEFT('Special Help Table'!$A172,SEARCH(",",'Special Help Table'!$A172)-1)&amp;";"&amp;RIGHT('Special Help Table'!$A172,LEN('Special Help Table'!$A172)-SEARCH(",",'Special Help Table'!$A172,SEARCH(";",'Special Help Table'!$A172)))&amp;" "&amp;MID('Special Help Table'!$A172,SEARCH("; ",'Special Help Table'!$A172)+2,SEARCH(",",'Special Help Table'!$A172,SEARCH(";",'Special Help Table'!$A172))-SEARCH(";",'Special Help Table'!$A172)-2),AND(LEN('Special Help Table'!$A172)-LEN(SUBSTITUTE('Special Help Table'!$A172,"and ",""))=0,LEN('Special Help Table'!$A172)-LEN(SUBSTITUTE('Special Help Table'!$A172,";",""))=0),'Special Help Table'!$A172,AND(LEN('Special Help Table'!$A172)-LEN(SUBSTITUTE('Special Help Table'!$A172,",","")=1),LEN('Special Help Table'!$A172)-LEN(SUBSTITUTE('Special Help Table'!$A172," ","")=20),LEN('Special Help Table'!$A172)-LEN(SUBSTITUTE('Special Help Table'!$A172," and",""))=0,LEN('Special Help Table'!$A172)-LEN(SUBSTITUTE('Special Help Table'!$A172,",","",FIND(" ",'Special Help Table'!$A172)+1))=0),RIGHT('Special Help Table'!$A172,LEN('Special Help Table'!$A172)-FIND(", ",'Special Help Table'!$A172))&amp;" "&amp;LEFT('Special Help Table'!$A172,FIND(",",'Special Help Table'!$A172)-1),AND(LEN('Special Help Table'!$A172)-LEN(SUBSTITUTE('Special Help Table'!$A172,"editor",""))=6,LEN('Special Help Table'!$A172)-LEN(SUBSTITUTE('Special Help Table'!$A172,"(",""))=0,LEN('Special Help Table'!$A172)-LEN(SUBSTITUTE('Special Help Table'!$A172,"and",""))=3,LEN('Special Help Table'!$A172)-LEN(SUBSTITUTE('Special Help Table'!$A172,",",""))=1,LEN('Special Help Table'!$A172)-LEN(SUBSTITUTE('Special Help Table'!$A172," ",""))=3),'Special Help Table'!$A172)</f>
        <v xml:space="preserve"> Lois Hoadley Dick</v>
      </c>
      <c r="C172" s="4" t="s">
        <v>378</v>
      </c>
      <c r="D172" s="2"/>
      <c r="E172" s="2" t="s">
        <v>16</v>
      </c>
      <c r="F172" s="2" t="s">
        <v>39</v>
      </c>
      <c r="G172" s="2"/>
      <c r="H172" s="2"/>
      <c r="I172" s="2"/>
      <c r="J172" s="2"/>
      <c r="K172" s="3">
        <v>40034</v>
      </c>
      <c r="L172" s="2"/>
      <c r="M172" s="2"/>
      <c r="N172" s="2" t="s">
        <v>18</v>
      </c>
    </row>
    <row r="173" spans="1:14" ht="15.75" customHeight="1" x14ac:dyDescent="0.35">
      <c r="A173" s="2" t="s">
        <v>379</v>
      </c>
      <c r="B173" s="2" t="str" cm="1">
        <f t="array" ref="B173">_xlfn.IFS(AND(LEN('Special Help Table'!$A173)-(LEN(SUBSTITUTE('Special Help Table'!$A173,";","")))=0,LEN('Special Help Table'!$A173)-LEN(SUBSTITUTE('Special Help Table'!$A173,",",""))=1,LEN('Special Help Table'!$A173)-LEN(SUBSTITUTE('Special Help Table'!$A173,"and ",""))=0),MID('Special Help Table'!$A173&amp;" "&amp;'Special Help Table'!$A173,SEARCH(", ",'Special Help Table'!$A173)+1,LEN('Special Help Table'!$A173)),AND(LEN('Special Help Table'!$A173)-(LEN(SUBSTITUTE('Special Help Table'!$A173,";","")))=1,LEN('Special Help Table'!$A173)-LEN(SUBSTITUTE('Special Help Table'!$A173,"and ",""))=0),MID('Special Help Table'!$A173,SEARCH(",",'Special Help Table'!$A173)+1,(SEARCH(";",'Special Help Table'!$A173)-1)-SEARCH(",",'Special Help Table'!$A173))&amp;" "&amp;LEFT('Special Help Table'!$A173,SEARCH(",",'Special Help Table'!$A173)-1)&amp;";"&amp;RIGHT('Special Help Table'!$A173,LEN('Special Help Table'!$A173)-SEARCH(",",'Special Help Table'!$A173,SEARCH(";",'Special Help Table'!$A173)))&amp;" "&amp;MID('Special Help Table'!$A173,SEARCH("; ",'Special Help Table'!$A173)+2,SEARCH(",",'Special Help Table'!$A173,SEARCH(";",'Special Help Table'!$A173))-SEARCH(";",'Special Help Table'!$A173)-2),AND(LEN('Special Help Table'!$A173)-LEN(SUBSTITUTE('Special Help Table'!$A173,"and ",""))=0,LEN('Special Help Table'!$A173)-LEN(SUBSTITUTE('Special Help Table'!$A173,";",""))=0),'Special Help Table'!$A173,AND(LEN('Special Help Table'!$A173)-LEN(SUBSTITUTE('Special Help Table'!$A173,",","")=1),LEN('Special Help Table'!$A173)-LEN(SUBSTITUTE('Special Help Table'!$A173," ","")=20),LEN('Special Help Table'!$A173)-LEN(SUBSTITUTE('Special Help Table'!$A173," and",""))=0,LEN('Special Help Table'!$A173)-LEN(SUBSTITUTE('Special Help Table'!$A173,",","",FIND(" ",'Special Help Table'!$A173)+1))=0),RIGHT('Special Help Table'!$A173,LEN('Special Help Table'!$A173)-FIND(", ",'Special Help Table'!$A173))&amp;" "&amp;LEFT('Special Help Table'!$A173,FIND(",",'Special Help Table'!$A173)-1),AND(LEN('Special Help Table'!$A173)-LEN(SUBSTITUTE('Special Help Table'!$A173,"editor",""))=6,LEN('Special Help Table'!$A173)-LEN(SUBSTITUTE('Special Help Table'!$A173,"(",""))=0,LEN('Special Help Table'!$A173)-LEN(SUBSTITUTE('Special Help Table'!$A173,"and",""))=3,LEN('Special Help Table'!$A173)-LEN(SUBSTITUTE('Special Help Table'!$A173,",",""))=1,LEN('Special Help Table'!$A173)-LEN(SUBSTITUTE('Special Help Table'!$A173," ",""))=3),'Special Help Table'!$A173)</f>
        <v xml:space="preserve"> Ronald E. Diprose</v>
      </c>
      <c r="C173" s="4" t="s">
        <v>380</v>
      </c>
      <c r="D173" s="2"/>
      <c r="E173" s="2" t="s">
        <v>16</v>
      </c>
      <c r="F173" s="2" t="s">
        <v>28</v>
      </c>
      <c r="G173" s="2"/>
      <c r="H173" s="2"/>
      <c r="I173" s="2"/>
      <c r="J173" s="2" t="s">
        <v>381</v>
      </c>
      <c r="K173" s="3">
        <v>40034</v>
      </c>
      <c r="L173" s="2"/>
      <c r="M173" s="2"/>
      <c r="N173" s="2" t="s">
        <v>18</v>
      </c>
    </row>
    <row r="174" spans="1:14" ht="15.75" customHeight="1" x14ac:dyDescent="0.35">
      <c r="A174" s="2" t="s">
        <v>382</v>
      </c>
      <c r="B174" s="2" t="str" cm="1">
        <f t="array" ref="B174">_xlfn.IFS(AND(LEN('Special Help Table'!$A174)-(LEN(SUBSTITUTE('Special Help Table'!$A174,";","")))=0,LEN('Special Help Table'!$A174)-LEN(SUBSTITUTE('Special Help Table'!$A174,",",""))=1,LEN('Special Help Table'!$A174)-LEN(SUBSTITUTE('Special Help Table'!$A174,"and ",""))=0),MID('Special Help Table'!$A174&amp;" "&amp;'Special Help Table'!$A174,SEARCH(", ",'Special Help Table'!$A174)+1,LEN('Special Help Table'!$A174)),AND(LEN('Special Help Table'!$A174)-(LEN(SUBSTITUTE('Special Help Table'!$A174,";","")))=1,LEN('Special Help Table'!$A174)-LEN(SUBSTITUTE('Special Help Table'!$A174,"and ",""))=0),MID('Special Help Table'!$A174,SEARCH(",",'Special Help Table'!$A174)+1,(SEARCH(";",'Special Help Table'!$A174)-1)-SEARCH(",",'Special Help Table'!$A174))&amp;" "&amp;LEFT('Special Help Table'!$A174,SEARCH(",",'Special Help Table'!$A174)-1)&amp;";"&amp;RIGHT('Special Help Table'!$A174,LEN('Special Help Table'!$A174)-SEARCH(",",'Special Help Table'!$A174,SEARCH(";",'Special Help Table'!$A174)))&amp;" "&amp;MID('Special Help Table'!$A174,SEARCH("; ",'Special Help Table'!$A174)+2,SEARCH(",",'Special Help Table'!$A174,SEARCH(";",'Special Help Table'!$A174))-SEARCH(";",'Special Help Table'!$A174)-2),AND(LEN('Special Help Table'!$A174)-LEN(SUBSTITUTE('Special Help Table'!$A174,"and ",""))=0,LEN('Special Help Table'!$A174)-LEN(SUBSTITUTE('Special Help Table'!$A174,";",""))=0),'Special Help Table'!$A174,AND(LEN('Special Help Table'!$A174)-LEN(SUBSTITUTE('Special Help Table'!$A174,",","")=1),LEN('Special Help Table'!$A174)-LEN(SUBSTITUTE('Special Help Table'!$A174," ","")=20),LEN('Special Help Table'!$A174)-LEN(SUBSTITUTE('Special Help Table'!$A174," and",""))=0,LEN('Special Help Table'!$A174)-LEN(SUBSTITUTE('Special Help Table'!$A174,",","",FIND(" ",'Special Help Table'!$A174)+1))=0),RIGHT('Special Help Table'!$A174,LEN('Special Help Table'!$A174)-FIND(", ",'Special Help Table'!$A174))&amp;" "&amp;LEFT('Special Help Table'!$A174,FIND(",",'Special Help Table'!$A174)-1),AND(LEN('Special Help Table'!$A174)-LEN(SUBSTITUTE('Special Help Table'!$A174,"editor",""))=6,LEN('Special Help Table'!$A174)-LEN(SUBSTITUTE('Special Help Table'!$A174,"(",""))=0,LEN('Special Help Table'!$A174)-LEN(SUBSTITUTE('Special Help Table'!$A174,"and",""))=3,LEN('Special Help Table'!$A174)-LEN(SUBSTITUTE('Special Help Table'!$A174,",",""))=1,LEN('Special Help Table'!$A174)-LEN(SUBSTITUTE('Special Help Table'!$A174," ",""))=3),'Special Help Table'!$A174)</f>
        <v xml:space="preserve"> Daniel M. Doriani</v>
      </c>
      <c r="C174" s="4" t="s">
        <v>383</v>
      </c>
      <c r="D174" s="2"/>
      <c r="E174" s="2" t="s">
        <v>16</v>
      </c>
      <c r="F174" s="2" t="s">
        <v>76</v>
      </c>
      <c r="G174" s="2"/>
      <c r="H174" s="2"/>
      <c r="I174" s="2"/>
      <c r="J174" s="2"/>
      <c r="K174" s="3">
        <v>43832</v>
      </c>
      <c r="L174" s="2"/>
      <c r="M174" s="2"/>
      <c r="N174" s="2" t="s">
        <v>18</v>
      </c>
    </row>
    <row r="175" spans="1:14" ht="15.75" customHeight="1" x14ac:dyDescent="0.35">
      <c r="A175" s="2" t="s">
        <v>382</v>
      </c>
      <c r="B175" s="2" t="str" cm="1">
        <f t="array" ref="B175">_xlfn.IFS(AND(LEN('Special Help Table'!$A175)-(LEN(SUBSTITUTE('Special Help Table'!$A175,";","")))=0,LEN('Special Help Table'!$A175)-LEN(SUBSTITUTE('Special Help Table'!$A175,",",""))=1,LEN('Special Help Table'!$A175)-LEN(SUBSTITUTE('Special Help Table'!$A175,"and ",""))=0),MID('Special Help Table'!$A175&amp;" "&amp;'Special Help Table'!$A175,SEARCH(", ",'Special Help Table'!$A175)+1,LEN('Special Help Table'!$A175)),AND(LEN('Special Help Table'!$A175)-(LEN(SUBSTITUTE('Special Help Table'!$A175,";","")))=1,LEN('Special Help Table'!$A175)-LEN(SUBSTITUTE('Special Help Table'!$A175,"and ",""))=0),MID('Special Help Table'!$A175,SEARCH(",",'Special Help Table'!$A175)+1,(SEARCH(";",'Special Help Table'!$A175)-1)-SEARCH(",",'Special Help Table'!$A175))&amp;" "&amp;LEFT('Special Help Table'!$A175,SEARCH(",",'Special Help Table'!$A175)-1)&amp;";"&amp;RIGHT('Special Help Table'!$A175,LEN('Special Help Table'!$A175)-SEARCH(",",'Special Help Table'!$A175,SEARCH(";",'Special Help Table'!$A175)))&amp;" "&amp;MID('Special Help Table'!$A175,SEARCH("; ",'Special Help Table'!$A175)+2,SEARCH(",",'Special Help Table'!$A175,SEARCH(";",'Special Help Table'!$A175))-SEARCH(";",'Special Help Table'!$A175)-2),AND(LEN('Special Help Table'!$A175)-LEN(SUBSTITUTE('Special Help Table'!$A175,"and ",""))=0,LEN('Special Help Table'!$A175)-LEN(SUBSTITUTE('Special Help Table'!$A175,";",""))=0),'Special Help Table'!$A175,AND(LEN('Special Help Table'!$A175)-LEN(SUBSTITUTE('Special Help Table'!$A175,",","")=1),LEN('Special Help Table'!$A175)-LEN(SUBSTITUTE('Special Help Table'!$A175," ","")=20),LEN('Special Help Table'!$A175)-LEN(SUBSTITUTE('Special Help Table'!$A175," and",""))=0,LEN('Special Help Table'!$A175)-LEN(SUBSTITUTE('Special Help Table'!$A175,",","",FIND(" ",'Special Help Table'!$A175)+1))=0),RIGHT('Special Help Table'!$A175,LEN('Special Help Table'!$A175)-FIND(", ",'Special Help Table'!$A175))&amp;" "&amp;LEFT('Special Help Table'!$A175,FIND(",",'Special Help Table'!$A175)-1),AND(LEN('Special Help Table'!$A175)-LEN(SUBSTITUTE('Special Help Table'!$A175,"editor",""))=6,LEN('Special Help Table'!$A175)-LEN(SUBSTITUTE('Special Help Table'!$A175,"(",""))=0,LEN('Special Help Table'!$A175)-LEN(SUBSTITUTE('Special Help Table'!$A175,"and",""))=3,LEN('Special Help Table'!$A175)-LEN(SUBSTITUTE('Special Help Table'!$A175,",",""))=1,LEN('Special Help Table'!$A175)-LEN(SUBSTITUTE('Special Help Table'!$A175," ",""))=3),'Special Help Table'!$A175)</f>
        <v xml:space="preserve"> Daniel M. Doriani</v>
      </c>
      <c r="C175" s="4" t="s">
        <v>384</v>
      </c>
      <c r="D175" s="2"/>
      <c r="E175" s="2" t="s">
        <v>16</v>
      </c>
      <c r="F175" s="2" t="s">
        <v>36</v>
      </c>
      <c r="G175" s="2"/>
      <c r="H175" s="2"/>
      <c r="I175" s="2"/>
      <c r="J175" s="2" t="s">
        <v>385</v>
      </c>
      <c r="K175" s="3">
        <v>44534</v>
      </c>
      <c r="L175" s="2"/>
      <c r="M175" s="2"/>
      <c r="N175" s="2" t="s">
        <v>18</v>
      </c>
    </row>
    <row r="176" spans="1:14" ht="15.75" customHeight="1" x14ac:dyDescent="0.35">
      <c r="A176" s="2" t="s">
        <v>382</v>
      </c>
      <c r="B176" s="2" t="str" cm="1">
        <f t="array" ref="B176">_xlfn.IFS(AND(LEN('Special Help Table'!$A176)-(LEN(SUBSTITUTE('Special Help Table'!$A176,";","")))=0,LEN('Special Help Table'!$A176)-LEN(SUBSTITUTE('Special Help Table'!$A176,",",""))=1,LEN('Special Help Table'!$A176)-LEN(SUBSTITUTE('Special Help Table'!$A176,"and ",""))=0),MID('Special Help Table'!$A176&amp;" "&amp;'Special Help Table'!$A176,SEARCH(", ",'Special Help Table'!$A176)+1,LEN('Special Help Table'!$A176)),AND(LEN('Special Help Table'!$A176)-(LEN(SUBSTITUTE('Special Help Table'!$A176,";","")))=1,LEN('Special Help Table'!$A176)-LEN(SUBSTITUTE('Special Help Table'!$A176,"and ",""))=0),MID('Special Help Table'!$A176,SEARCH(",",'Special Help Table'!$A176)+1,(SEARCH(";",'Special Help Table'!$A176)-1)-SEARCH(",",'Special Help Table'!$A176))&amp;" "&amp;LEFT('Special Help Table'!$A176,SEARCH(",",'Special Help Table'!$A176)-1)&amp;";"&amp;RIGHT('Special Help Table'!$A176,LEN('Special Help Table'!$A176)-SEARCH(",",'Special Help Table'!$A176,SEARCH(";",'Special Help Table'!$A176)))&amp;" "&amp;MID('Special Help Table'!$A176,SEARCH("; ",'Special Help Table'!$A176)+2,SEARCH(",",'Special Help Table'!$A176,SEARCH(";",'Special Help Table'!$A176))-SEARCH(";",'Special Help Table'!$A176)-2),AND(LEN('Special Help Table'!$A176)-LEN(SUBSTITUTE('Special Help Table'!$A176,"and ",""))=0,LEN('Special Help Table'!$A176)-LEN(SUBSTITUTE('Special Help Table'!$A176,";",""))=0),'Special Help Table'!$A176,AND(LEN('Special Help Table'!$A176)-LEN(SUBSTITUTE('Special Help Table'!$A176,",","")=1),LEN('Special Help Table'!$A176)-LEN(SUBSTITUTE('Special Help Table'!$A176," ","")=20),LEN('Special Help Table'!$A176)-LEN(SUBSTITUTE('Special Help Table'!$A176," and",""))=0,LEN('Special Help Table'!$A176)-LEN(SUBSTITUTE('Special Help Table'!$A176,",","",FIND(" ",'Special Help Table'!$A176)+1))=0),RIGHT('Special Help Table'!$A176,LEN('Special Help Table'!$A176)-FIND(", ",'Special Help Table'!$A176))&amp;" "&amp;LEFT('Special Help Table'!$A176,FIND(",",'Special Help Table'!$A176)-1),AND(LEN('Special Help Table'!$A176)-LEN(SUBSTITUTE('Special Help Table'!$A176,"editor",""))=6,LEN('Special Help Table'!$A176)-LEN(SUBSTITUTE('Special Help Table'!$A176,"(",""))=0,LEN('Special Help Table'!$A176)-LEN(SUBSTITUTE('Special Help Table'!$A176,"and",""))=3,LEN('Special Help Table'!$A176)-LEN(SUBSTITUTE('Special Help Table'!$A176,",",""))=1,LEN('Special Help Table'!$A176)-LEN(SUBSTITUTE('Special Help Table'!$A176," ",""))=3),'Special Help Table'!$A176)</f>
        <v xml:space="preserve"> Daniel M. Doriani</v>
      </c>
      <c r="C176" s="4" t="s">
        <v>386</v>
      </c>
      <c r="D176" s="2"/>
      <c r="E176" s="2" t="s">
        <v>16</v>
      </c>
      <c r="F176" s="2" t="s">
        <v>36</v>
      </c>
      <c r="G176" s="2"/>
      <c r="H176" s="2"/>
      <c r="I176" s="2"/>
      <c r="J176" s="2" t="s">
        <v>385</v>
      </c>
      <c r="K176" s="3">
        <v>44534</v>
      </c>
      <c r="L176" s="2"/>
      <c r="M176" s="2"/>
      <c r="N176" s="2" t="s">
        <v>18</v>
      </c>
    </row>
    <row r="177" spans="1:14" ht="15.75" customHeight="1" x14ac:dyDescent="0.35">
      <c r="A177" s="2" t="s">
        <v>387</v>
      </c>
      <c r="B177" s="2" t="str" cm="1">
        <f t="array" ref="B177">_xlfn.IFS(AND(LEN('Special Help Table'!$A177)-(LEN(SUBSTITUTE('Special Help Table'!$A177,";","")))=0,LEN('Special Help Table'!$A177)-LEN(SUBSTITUTE('Special Help Table'!$A177,",",""))=1,LEN('Special Help Table'!$A177)-LEN(SUBSTITUTE('Special Help Table'!$A177,"and ",""))=0),MID('Special Help Table'!$A177&amp;" "&amp;'Special Help Table'!$A177,SEARCH(", ",'Special Help Table'!$A177)+1,LEN('Special Help Table'!$A177)),AND(LEN('Special Help Table'!$A177)-(LEN(SUBSTITUTE('Special Help Table'!$A177,";","")))=1,LEN('Special Help Table'!$A177)-LEN(SUBSTITUTE('Special Help Table'!$A177,"and ",""))=0),MID('Special Help Table'!$A177,SEARCH(",",'Special Help Table'!$A177)+1,(SEARCH(";",'Special Help Table'!$A177)-1)-SEARCH(",",'Special Help Table'!$A177))&amp;" "&amp;LEFT('Special Help Table'!$A177,SEARCH(",",'Special Help Table'!$A177)-1)&amp;";"&amp;RIGHT('Special Help Table'!$A177,LEN('Special Help Table'!$A177)-SEARCH(",",'Special Help Table'!$A177,SEARCH(";",'Special Help Table'!$A177)))&amp;" "&amp;MID('Special Help Table'!$A177,SEARCH("; ",'Special Help Table'!$A177)+2,SEARCH(",",'Special Help Table'!$A177,SEARCH(";",'Special Help Table'!$A177))-SEARCH(";",'Special Help Table'!$A177)-2),AND(LEN('Special Help Table'!$A177)-LEN(SUBSTITUTE('Special Help Table'!$A177,"and ",""))=0,LEN('Special Help Table'!$A177)-LEN(SUBSTITUTE('Special Help Table'!$A177,";",""))=0),'Special Help Table'!$A177,AND(LEN('Special Help Table'!$A177)-LEN(SUBSTITUTE('Special Help Table'!$A177,",","")=1),LEN('Special Help Table'!$A177)-LEN(SUBSTITUTE('Special Help Table'!$A177," ","")=20),LEN('Special Help Table'!$A177)-LEN(SUBSTITUTE('Special Help Table'!$A177," and",""))=0,LEN('Special Help Table'!$A177)-LEN(SUBSTITUTE('Special Help Table'!$A177,",","",FIND(" ",'Special Help Table'!$A177)+1))=0),RIGHT('Special Help Table'!$A177,LEN('Special Help Table'!$A177)-FIND(", ",'Special Help Table'!$A177))&amp;" "&amp;LEFT('Special Help Table'!$A177,FIND(",",'Special Help Table'!$A177)-1),AND(LEN('Special Help Table'!$A177)-LEN(SUBSTITUTE('Special Help Table'!$A177,"editor",""))=6,LEN('Special Help Table'!$A177)-LEN(SUBSTITUTE('Special Help Table'!$A177,"(",""))=0,LEN('Special Help Table'!$A177)-LEN(SUBSTITUTE('Special Help Table'!$A177,"and",""))=3,LEN('Special Help Table'!$A177)-LEN(SUBSTITUTE('Special Help Table'!$A177,",",""))=1,LEN('Special Help Table'!$A177)-LEN(SUBSTITUTE('Special Help Table'!$A177," ",""))=3),'Special Help Table'!$A177)</f>
        <v xml:space="preserve"> Charles D Drew</v>
      </c>
      <c r="C177" s="4" t="s">
        <v>388</v>
      </c>
      <c r="D177" s="2"/>
      <c r="E177" s="2" t="s">
        <v>16</v>
      </c>
      <c r="F177" s="2" t="s">
        <v>36</v>
      </c>
      <c r="G177" s="2"/>
      <c r="H177" s="2"/>
      <c r="I177" s="2"/>
      <c r="J177" s="2"/>
      <c r="K177" s="3">
        <v>40247</v>
      </c>
      <c r="L177" s="2"/>
      <c r="M177" s="2"/>
      <c r="N177" s="2" t="s">
        <v>18</v>
      </c>
    </row>
    <row r="178" spans="1:14" ht="15.75" customHeight="1" x14ac:dyDescent="0.35">
      <c r="A178" s="2" t="s">
        <v>389</v>
      </c>
      <c r="B178" s="2" t="str" cm="1">
        <f t="array" ref="B178">_xlfn.IFS(AND(LEN('Special Help Table'!$A178)-(LEN(SUBSTITUTE('Special Help Table'!$A178,";","")))=0,LEN('Special Help Table'!$A178)-LEN(SUBSTITUTE('Special Help Table'!$A178,",",""))=1,LEN('Special Help Table'!$A178)-LEN(SUBSTITUTE('Special Help Table'!$A178,"and ",""))=0),MID('Special Help Table'!$A178&amp;" "&amp;'Special Help Table'!$A178,SEARCH(", ",'Special Help Table'!$A178)+1,LEN('Special Help Table'!$A178)),AND(LEN('Special Help Table'!$A178)-(LEN(SUBSTITUTE('Special Help Table'!$A178,";","")))=1,LEN('Special Help Table'!$A178)-LEN(SUBSTITUTE('Special Help Table'!$A178,"and ",""))=0),MID('Special Help Table'!$A178,SEARCH(",",'Special Help Table'!$A178)+1,(SEARCH(";",'Special Help Table'!$A178)-1)-SEARCH(",",'Special Help Table'!$A178))&amp;" "&amp;LEFT('Special Help Table'!$A178,SEARCH(",",'Special Help Table'!$A178)-1)&amp;";"&amp;RIGHT('Special Help Table'!$A178,LEN('Special Help Table'!$A178)-SEARCH(",",'Special Help Table'!$A178,SEARCH(";",'Special Help Table'!$A178)))&amp;" "&amp;MID('Special Help Table'!$A178,SEARCH("; ",'Special Help Table'!$A178)+2,SEARCH(",",'Special Help Table'!$A178,SEARCH(";",'Special Help Table'!$A178))-SEARCH(";",'Special Help Table'!$A178)-2),AND(LEN('Special Help Table'!$A178)-LEN(SUBSTITUTE('Special Help Table'!$A178,"and ",""))=0,LEN('Special Help Table'!$A178)-LEN(SUBSTITUTE('Special Help Table'!$A178,";",""))=0),'Special Help Table'!$A178,AND(LEN('Special Help Table'!$A178)-LEN(SUBSTITUTE('Special Help Table'!$A178,",","")=1),LEN('Special Help Table'!$A178)-LEN(SUBSTITUTE('Special Help Table'!$A178," ","")=20),LEN('Special Help Table'!$A178)-LEN(SUBSTITUTE('Special Help Table'!$A178," and",""))=0,LEN('Special Help Table'!$A178)-LEN(SUBSTITUTE('Special Help Table'!$A178,",","",FIND(" ",'Special Help Table'!$A178)+1))=0),RIGHT('Special Help Table'!$A178,LEN('Special Help Table'!$A178)-FIND(", ",'Special Help Table'!$A178))&amp;" "&amp;LEFT('Special Help Table'!$A178,FIND(",",'Special Help Table'!$A178)-1),AND(LEN('Special Help Table'!$A178)-LEN(SUBSTITUTE('Special Help Table'!$A178,"editor",""))=6,LEN('Special Help Table'!$A178)-LEN(SUBSTITUTE('Special Help Table'!$A178,"(",""))=0,LEN('Special Help Table'!$A178)-LEN(SUBSTITUTE('Special Help Table'!$A178,"and",""))=3,LEN('Special Help Table'!$A178)-LEN(SUBSTITUTE('Special Help Table'!$A178,",",""))=1,LEN('Special Help Table'!$A178)-LEN(SUBSTITUTE('Special Help Table'!$A178," ",""))=3),'Special Help Table'!$A178)</f>
        <v xml:space="preserve"> Barbara R Duguid</v>
      </c>
      <c r="C178" s="4" t="s">
        <v>390</v>
      </c>
      <c r="D178" s="2"/>
      <c r="E178" s="2" t="s">
        <v>16</v>
      </c>
      <c r="F178" s="2" t="s">
        <v>36</v>
      </c>
      <c r="G178" s="2"/>
      <c r="H178" s="2"/>
      <c r="I178" s="2"/>
      <c r="J178" s="2"/>
      <c r="K178" s="3">
        <v>41804</v>
      </c>
      <c r="L178" s="2"/>
      <c r="M178" s="2"/>
      <c r="N178" s="2" t="s">
        <v>18</v>
      </c>
    </row>
    <row r="179" spans="1:14" ht="15.75" customHeight="1" x14ac:dyDescent="0.35">
      <c r="A179" s="2" t="s">
        <v>389</v>
      </c>
      <c r="B179" s="2" t="str" cm="1">
        <f t="array" ref="B179">_xlfn.IFS(AND(LEN('Special Help Table'!$A179)-(LEN(SUBSTITUTE('Special Help Table'!$A179,";","")))=0,LEN('Special Help Table'!$A179)-LEN(SUBSTITUTE('Special Help Table'!$A179,",",""))=1,LEN('Special Help Table'!$A179)-LEN(SUBSTITUTE('Special Help Table'!$A179,"and ",""))=0),MID('Special Help Table'!$A179&amp;" "&amp;'Special Help Table'!$A179,SEARCH(", ",'Special Help Table'!$A179)+1,LEN('Special Help Table'!$A179)),AND(LEN('Special Help Table'!$A179)-(LEN(SUBSTITUTE('Special Help Table'!$A179,";","")))=1,LEN('Special Help Table'!$A179)-LEN(SUBSTITUTE('Special Help Table'!$A179,"and ",""))=0),MID('Special Help Table'!$A179,SEARCH(",",'Special Help Table'!$A179)+1,(SEARCH(";",'Special Help Table'!$A179)-1)-SEARCH(",",'Special Help Table'!$A179))&amp;" "&amp;LEFT('Special Help Table'!$A179,SEARCH(",",'Special Help Table'!$A179)-1)&amp;";"&amp;RIGHT('Special Help Table'!$A179,LEN('Special Help Table'!$A179)-SEARCH(",",'Special Help Table'!$A179,SEARCH(";",'Special Help Table'!$A179)))&amp;" "&amp;MID('Special Help Table'!$A179,SEARCH("; ",'Special Help Table'!$A179)+2,SEARCH(",",'Special Help Table'!$A179,SEARCH(";",'Special Help Table'!$A179))-SEARCH(";",'Special Help Table'!$A179)-2),AND(LEN('Special Help Table'!$A179)-LEN(SUBSTITUTE('Special Help Table'!$A179,"and ",""))=0,LEN('Special Help Table'!$A179)-LEN(SUBSTITUTE('Special Help Table'!$A179,";",""))=0),'Special Help Table'!$A179,AND(LEN('Special Help Table'!$A179)-LEN(SUBSTITUTE('Special Help Table'!$A179,",","")=1),LEN('Special Help Table'!$A179)-LEN(SUBSTITUTE('Special Help Table'!$A179," ","")=20),LEN('Special Help Table'!$A179)-LEN(SUBSTITUTE('Special Help Table'!$A179," and",""))=0,LEN('Special Help Table'!$A179)-LEN(SUBSTITUTE('Special Help Table'!$A179,",","",FIND(" ",'Special Help Table'!$A179)+1))=0),RIGHT('Special Help Table'!$A179,LEN('Special Help Table'!$A179)-FIND(", ",'Special Help Table'!$A179))&amp;" "&amp;LEFT('Special Help Table'!$A179,FIND(",",'Special Help Table'!$A179)-1),AND(LEN('Special Help Table'!$A179)-LEN(SUBSTITUTE('Special Help Table'!$A179,"editor",""))=6,LEN('Special Help Table'!$A179)-LEN(SUBSTITUTE('Special Help Table'!$A179,"(",""))=0,LEN('Special Help Table'!$A179)-LEN(SUBSTITUTE('Special Help Table'!$A179,"and",""))=3,LEN('Special Help Table'!$A179)-LEN(SUBSTITUTE('Special Help Table'!$A179,",",""))=1,LEN('Special Help Table'!$A179)-LEN(SUBSTITUTE('Special Help Table'!$A179," ",""))=3),'Special Help Table'!$A179)</f>
        <v xml:space="preserve"> Barbara R Duguid</v>
      </c>
      <c r="C179" s="4" t="s">
        <v>391</v>
      </c>
      <c r="D179" s="2"/>
      <c r="E179" s="2" t="s">
        <v>16</v>
      </c>
      <c r="F179" s="2" t="s">
        <v>17</v>
      </c>
      <c r="G179" s="2" t="s">
        <v>392</v>
      </c>
      <c r="H179" s="2"/>
      <c r="I179" s="2"/>
      <c r="J179" s="2" t="s">
        <v>393</v>
      </c>
      <c r="K179" s="3">
        <v>43211</v>
      </c>
      <c r="L179" s="2"/>
      <c r="M179" s="2"/>
      <c r="N179" s="2" t="s">
        <v>18</v>
      </c>
    </row>
    <row r="180" spans="1:14" ht="15.75" customHeight="1" x14ac:dyDescent="0.35">
      <c r="A180" s="2" t="s">
        <v>394</v>
      </c>
      <c r="B180" s="2" t="str" cm="1">
        <f t="array" ref="B180">_xlfn.IFS(AND(LEN('Special Help Table'!$A180)-(LEN(SUBSTITUTE('Special Help Table'!$A180,";","")))=0,LEN('Special Help Table'!$A180)-LEN(SUBSTITUTE('Special Help Table'!$A180,",",""))=1,LEN('Special Help Table'!$A180)-LEN(SUBSTITUTE('Special Help Table'!$A180,"and ",""))=0),MID('Special Help Table'!$A180&amp;" "&amp;'Special Help Table'!$A180,SEARCH(", ",'Special Help Table'!$A180)+1,LEN('Special Help Table'!$A180)),AND(LEN('Special Help Table'!$A180)-(LEN(SUBSTITUTE('Special Help Table'!$A180,";","")))=1,LEN('Special Help Table'!$A180)-LEN(SUBSTITUTE('Special Help Table'!$A180,"and ",""))=0),MID('Special Help Table'!$A180,SEARCH(",",'Special Help Table'!$A180)+1,(SEARCH(";",'Special Help Table'!$A180)-1)-SEARCH(",",'Special Help Table'!$A180))&amp;" "&amp;LEFT('Special Help Table'!$A180,SEARCH(",",'Special Help Table'!$A180)-1)&amp;";"&amp;RIGHT('Special Help Table'!$A180,LEN('Special Help Table'!$A180)-SEARCH(",",'Special Help Table'!$A180,SEARCH(";",'Special Help Table'!$A180)))&amp;" "&amp;MID('Special Help Table'!$A180,SEARCH("; ",'Special Help Table'!$A180)+2,SEARCH(",",'Special Help Table'!$A180,SEARCH(";",'Special Help Table'!$A180))-SEARCH(";",'Special Help Table'!$A180)-2),AND(LEN('Special Help Table'!$A180)-LEN(SUBSTITUTE('Special Help Table'!$A180,"and ",""))=0,LEN('Special Help Table'!$A180)-LEN(SUBSTITUTE('Special Help Table'!$A180,";",""))=0),'Special Help Table'!$A180,AND(LEN('Special Help Table'!$A180)-LEN(SUBSTITUTE('Special Help Table'!$A180,",","")=1),LEN('Special Help Table'!$A180)-LEN(SUBSTITUTE('Special Help Table'!$A180," ","")=20),LEN('Special Help Table'!$A180)-LEN(SUBSTITUTE('Special Help Table'!$A180," and",""))=0,LEN('Special Help Table'!$A180)-LEN(SUBSTITUTE('Special Help Table'!$A180,",","",FIND(" ",'Special Help Table'!$A180)+1))=0),RIGHT('Special Help Table'!$A180,LEN('Special Help Table'!$A180)-FIND(", ",'Special Help Table'!$A180))&amp;" "&amp;LEFT('Special Help Table'!$A180,FIND(",",'Special Help Table'!$A180)-1),AND(LEN('Special Help Table'!$A180)-LEN(SUBSTITUTE('Special Help Table'!$A180,"editor",""))=6,LEN('Special Help Table'!$A180)-LEN(SUBSTITUTE('Special Help Table'!$A180,"(",""))=0,LEN('Special Help Table'!$A180)-LEN(SUBSTITUTE('Special Help Table'!$A180,"and",""))=3,LEN('Special Help Table'!$A180)-LEN(SUBSTITUTE('Special Help Table'!$A180,",",""))=1,LEN('Special Help Table'!$A180)-LEN(SUBSTITUTE('Special Help Table'!$A180," ",""))=3),'Special Help Table'!$A180)</f>
        <v xml:space="preserve"> Barbara R. Duguid</v>
      </c>
      <c r="C180" s="4" t="s">
        <v>395</v>
      </c>
      <c r="D180" s="2"/>
      <c r="E180" s="2" t="s">
        <v>16</v>
      </c>
      <c r="F180" s="2" t="s">
        <v>36</v>
      </c>
      <c r="G180" s="2"/>
      <c r="H180" s="2"/>
      <c r="I180" s="2"/>
      <c r="J180" s="2" t="s">
        <v>172</v>
      </c>
      <c r="K180" s="3"/>
      <c r="L180" s="2"/>
      <c r="M180" s="2"/>
      <c r="N180" s="2" t="s">
        <v>18</v>
      </c>
    </row>
    <row r="181" spans="1:14" ht="15.75" customHeight="1" x14ac:dyDescent="0.35">
      <c r="A181" s="2" t="s">
        <v>396</v>
      </c>
      <c r="B181" s="2" t="str" cm="1">
        <f t="array" ref="B181">_xlfn.IFS(AND(LEN('Special Help Table'!$A181)-(LEN(SUBSTITUTE('Special Help Table'!$A181,";","")))=0,LEN('Special Help Table'!$A181)-LEN(SUBSTITUTE('Special Help Table'!$A181,",",""))=1,LEN('Special Help Table'!$A181)-LEN(SUBSTITUTE('Special Help Table'!$A181,"and ",""))=0),MID('Special Help Table'!$A181&amp;" "&amp;'Special Help Table'!$A181,SEARCH(", ",'Special Help Table'!$A181)+1,LEN('Special Help Table'!$A181)),AND(LEN('Special Help Table'!$A181)-(LEN(SUBSTITUTE('Special Help Table'!$A181,";","")))=1,LEN('Special Help Table'!$A181)-LEN(SUBSTITUTE('Special Help Table'!$A181,"and ",""))=0),MID('Special Help Table'!$A181,SEARCH(",",'Special Help Table'!$A181)+1,(SEARCH(";",'Special Help Table'!$A181)-1)-SEARCH(",",'Special Help Table'!$A181))&amp;" "&amp;LEFT('Special Help Table'!$A181,SEARCH(",",'Special Help Table'!$A181)-1)&amp;";"&amp;RIGHT('Special Help Table'!$A181,LEN('Special Help Table'!$A181)-SEARCH(",",'Special Help Table'!$A181,SEARCH(";",'Special Help Table'!$A181)))&amp;" "&amp;MID('Special Help Table'!$A181,SEARCH("; ",'Special Help Table'!$A181)+2,SEARCH(",",'Special Help Table'!$A181,SEARCH(";",'Special Help Table'!$A181))-SEARCH(";",'Special Help Table'!$A181)-2),AND(LEN('Special Help Table'!$A181)-LEN(SUBSTITUTE('Special Help Table'!$A181,"and ",""))=0,LEN('Special Help Table'!$A181)-LEN(SUBSTITUTE('Special Help Table'!$A181,";",""))=0),'Special Help Table'!$A181,AND(LEN('Special Help Table'!$A181)-LEN(SUBSTITUTE('Special Help Table'!$A181,",","")=1),LEN('Special Help Table'!$A181)-LEN(SUBSTITUTE('Special Help Table'!$A181," ","")=20),LEN('Special Help Table'!$A181)-LEN(SUBSTITUTE('Special Help Table'!$A181," and",""))=0,LEN('Special Help Table'!$A181)-LEN(SUBSTITUTE('Special Help Table'!$A181,",","",FIND(" ",'Special Help Table'!$A181)+1))=0),RIGHT('Special Help Table'!$A181,LEN('Special Help Table'!$A181)-FIND(", ",'Special Help Table'!$A181))&amp;" "&amp;LEFT('Special Help Table'!$A181,FIND(",",'Special Help Table'!$A181)-1),AND(LEN('Special Help Table'!$A181)-LEN(SUBSTITUTE('Special Help Table'!$A181,"editor",""))=6,LEN('Special Help Table'!$A181)-LEN(SUBSTITUTE('Special Help Table'!$A181,"(",""))=0,LEN('Special Help Table'!$A181)-LEN(SUBSTITUTE('Special Help Table'!$A181,"and",""))=3,LEN('Special Help Table'!$A181)-LEN(SUBSTITUTE('Special Help Table'!$A181,",",""))=1,LEN('Special Help Table'!$A181)-LEN(SUBSTITUTE('Special Help Table'!$A181," ",""))=3),'Special Help Table'!$A181)</f>
        <v xml:space="preserve"> J. Ligon Duncan; Susan Hunt</v>
      </c>
      <c r="C181" s="4" t="s">
        <v>397</v>
      </c>
      <c r="D181" s="2" t="s">
        <v>398</v>
      </c>
      <c r="E181" s="2" t="s">
        <v>16</v>
      </c>
      <c r="F181" s="2" t="s">
        <v>33</v>
      </c>
      <c r="G181" s="2"/>
      <c r="H181" s="2"/>
      <c r="I181" s="2"/>
      <c r="J181" s="2" t="s">
        <v>230</v>
      </c>
      <c r="K181" s="3">
        <v>40247</v>
      </c>
      <c r="L181" s="2"/>
      <c r="M181" s="2"/>
      <c r="N181" s="2" t="s">
        <v>18</v>
      </c>
    </row>
    <row r="182" spans="1:14" ht="15.75" customHeight="1" x14ac:dyDescent="0.35">
      <c r="A182" s="2" t="s">
        <v>399</v>
      </c>
      <c r="B182" s="2" t="str" cm="1">
        <f t="array" ref="B182">_xlfn.IFS(AND(LEN('Special Help Table'!$A182)-(LEN(SUBSTITUTE('Special Help Table'!$A182,";","")))=0,LEN('Special Help Table'!$A182)-LEN(SUBSTITUTE('Special Help Table'!$A182,",",""))=1,LEN('Special Help Table'!$A182)-LEN(SUBSTITUTE('Special Help Table'!$A182,"and ",""))=0),MID('Special Help Table'!$A182&amp;" "&amp;'Special Help Table'!$A182,SEARCH(", ",'Special Help Table'!$A182)+1,LEN('Special Help Table'!$A182)),AND(LEN('Special Help Table'!$A182)-(LEN(SUBSTITUTE('Special Help Table'!$A182,";","")))=1,LEN('Special Help Table'!$A182)-LEN(SUBSTITUTE('Special Help Table'!$A182,"and ",""))=0),MID('Special Help Table'!$A182,SEARCH(",",'Special Help Table'!$A182)+1,(SEARCH(";",'Special Help Table'!$A182)-1)-SEARCH(",",'Special Help Table'!$A182))&amp;" "&amp;LEFT('Special Help Table'!$A182,SEARCH(",",'Special Help Table'!$A182)-1)&amp;";"&amp;RIGHT('Special Help Table'!$A182,LEN('Special Help Table'!$A182)-SEARCH(",",'Special Help Table'!$A182,SEARCH(";",'Special Help Table'!$A182)))&amp;" "&amp;MID('Special Help Table'!$A182,SEARCH("; ",'Special Help Table'!$A182)+2,SEARCH(",",'Special Help Table'!$A182,SEARCH(";",'Special Help Table'!$A182))-SEARCH(";",'Special Help Table'!$A182)-2),AND(LEN('Special Help Table'!$A182)-LEN(SUBSTITUTE('Special Help Table'!$A182,"and ",""))=0,LEN('Special Help Table'!$A182)-LEN(SUBSTITUTE('Special Help Table'!$A182,";",""))=0),'Special Help Table'!$A182,AND(LEN('Special Help Table'!$A182)-LEN(SUBSTITUTE('Special Help Table'!$A182,",","")=1),LEN('Special Help Table'!$A182)-LEN(SUBSTITUTE('Special Help Table'!$A182," ","")=20),LEN('Special Help Table'!$A182)-LEN(SUBSTITUTE('Special Help Table'!$A182," and",""))=0,LEN('Special Help Table'!$A182)-LEN(SUBSTITUTE('Special Help Table'!$A182,",","",FIND(" ",'Special Help Table'!$A182)+1))=0),RIGHT('Special Help Table'!$A182,LEN('Special Help Table'!$A182)-FIND(", ",'Special Help Table'!$A182))&amp;" "&amp;LEFT('Special Help Table'!$A182,FIND(",",'Special Help Table'!$A182)-1),AND(LEN('Special Help Table'!$A182)-LEN(SUBSTITUTE('Special Help Table'!$A182,"editor",""))=6,LEN('Special Help Table'!$A182)-LEN(SUBSTITUTE('Special Help Table'!$A182,"(",""))=0,LEN('Special Help Table'!$A182)-LEN(SUBSTITUTE('Special Help Table'!$A182,"and",""))=3,LEN('Special Help Table'!$A182)-LEN(SUBSTITUTE('Special Help Table'!$A182,",",""))=1,LEN('Special Help Table'!$A182)-LEN(SUBSTITUTE('Special Help Table'!$A182," ",""))=3),'Special Help Table'!$A182)</f>
        <v xml:space="preserve"> David R. Dunham</v>
      </c>
      <c r="C182" s="4" t="s">
        <v>400</v>
      </c>
      <c r="D182" s="2"/>
      <c r="E182" s="2" t="s">
        <v>16</v>
      </c>
      <c r="F182" s="2" t="s">
        <v>17</v>
      </c>
      <c r="G182" s="2"/>
      <c r="H182" s="2" t="s">
        <v>401</v>
      </c>
      <c r="I182" s="2"/>
      <c r="J182" s="2" t="s">
        <v>97</v>
      </c>
      <c r="K182" s="3"/>
      <c r="L182" s="2"/>
      <c r="M182" s="2"/>
      <c r="N182" s="2" t="s">
        <v>18</v>
      </c>
    </row>
    <row r="183" spans="1:14" ht="15.75" customHeight="1" x14ac:dyDescent="0.35">
      <c r="A183" s="2" t="s">
        <v>402</v>
      </c>
      <c r="B183" s="2" t="str" cm="1">
        <f t="array" ref="B183">_xlfn.IFS(AND(LEN('Special Help Table'!$A183)-(LEN(SUBSTITUTE('Special Help Table'!$A183,";","")))=0,LEN('Special Help Table'!$A183)-LEN(SUBSTITUTE('Special Help Table'!$A183,",",""))=1,LEN('Special Help Table'!$A183)-LEN(SUBSTITUTE('Special Help Table'!$A183,"and ",""))=0),MID('Special Help Table'!$A183&amp;" "&amp;'Special Help Table'!$A183,SEARCH(", ",'Special Help Table'!$A183)+1,LEN('Special Help Table'!$A183)),AND(LEN('Special Help Table'!$A183)-(LEN(SUBSTITUTE('Special Help Table'!$A183,";","")))=1,LEN('Special Help Table'!$A183)-LEN(SUBSTITUTE('Special Help Table'!$A183,"and ",""))=0),MID('Special Help Table'!$A183,SEARCH(",",'Special Help Table'!$A183)+1,(SEARCH(";",'Special Help Table'!$A183)-1)-SEARCH(",",'Special Help Table'!$A183))&amp;" "&amp;LEFT('Special Help Table'!$A183,SEARCH(",",'Special Help Table'!$A183)-1)&amp;";"&amp;RIGHT('Special Help Table'!$A183,LEN('Special Help Table'!$A183)-SEARCH(",",'Special Help Table'!$A183,SEARCH(";",'Special Help Table'!$A183)))&amp;" "&amp;MID('Special Help Table'!$A183,SEARCH("; ",'Special Help Table'!$A183)+2,SEARCH(",",'Special Help Table'!$A183,SEARCH(";",'Special Help Table'!$A183))-SEARCH(";",'Special Help Table'!$A183)-2),AND(LEN('Special Help Table'!$A183)-LEN(SUBSTITUTE('Special Help Table'!$A183,"and ",""))=0,LEN('Special Help Table'!$A183)-LEN(SUBSTITUTE('Special Help Table'!$A183,";",""))=0),'Special Help Table'!$A183,AND(LEN('Special Help Table'!$A183)-LEN(SUBSTITUTE('Special Help Table'!$A183,",","")=1),LEN('Special Help Table'!$A183)-LEN(SUBSTITUTE('Special Help Table'!$A183," ","")=20),LEN('Special Help Table'!$A183)-LEN(SUBSTITUTE('Special Help Table'!$A183," and",""))=0,LEN('Special Help Table'!$A183)-LEN(SUBSTITUTE('Special Help Table'!$A183,",","",FIND(" ",'Special Help Table'!$A183)+1))=0),RIGHT('Special Help Table'!$A183,LEN('Special Help Table'!$A183)-FIND(", ",'Special Help Table'!$A183))&amp;" "&amp;LEFT('Special Help Table'!$A183,FIND(",",'Special Help Table'!$A183)-1),AND(LEN('Special Help Table'!$A183)-LEN(SUBSTITUTE('Special Help Table'!$A183,"editor",""))=6,LEN('Special Help Table'!$A183)-LEN(SUBSTITUTE('Special Help Table'!$A183,"(",""))=0,LEN('Special Help Table'!$A183)-LEN(SUBSTITUTE('Special Help Table'!$A183,"and",""))=3,LEN('Special Help Table'!$A183)-LEN(SUBSTITUTE('Special Help Table'!$A183,",",""))=1,LEN('Special Help Table'!$A183)-LEN(SUBSTITUTE('Special Help Table'!$A183," ",""))=3),'Special Help Table'!$A183)</f>
        <v xml:space="preserve"> Ed Dunlop</v>
      </c>
      <c r="C183" s="4" t="s">
        <v>403</v>
      </c>
      <c r="D183" s="2"/>
      <c r="E183" s="2" t="s">
        <v>16</v>
      </c>
      <c r="F183" s="2" t="s">
        <v>72</v>
      </c>
      <c r="G183" s="2"/>
      <c r="H183" s="2"/>
      <c r="I183" s="2"/>
      <c r="J183" s="2"/>
      <c r="K183" s="3">
        <v>41041</v>
      </c>
      <c r="L183" s="2"/>
      <c r="M183" s="2"/>
      <c r="N183" s="2" t="s">
        <v>18</v>
      </c>
    </row>
    <row r="184" spans="1:14" ht="15.75" customHeight="1" x14ac:dyDescent="0.35">
      <c r="A184" s="2" t="s">
        <v>402</v>
      </c>
      <c r="B184" s="2" t="str" cm="1">
        <f t="array" ref="B184">_xlfn.IFS(AND(LEN('Special Help Table'!$A184)-(LEN(SUBSTITUTE('Special Help Table'!$A184,";","")))=0,LEN('Special Help Table'!$A184)-LEN(SUBSTITUTE('Special Help Table'!$A184,",",""))=1,LEN('Special Help Table'!$A184)-LEN(SUBSTITUTE('Special Help Table'!$A184,"and ",""))=0),MID('Special Help Table'!$A184&amp;" "&amp;'Special Help Table'!$A184,SEARCH(", ",'Special Help Table'!$A184)+1,LEN('Special Help Table'!$A184)),AND(LEN('Special Help Table'!$A184)-(LEN(SUBSTITUTE('Special Help Table'!$A184,";","")))=1,LEN('Special Help Table'!$A184)-LEN(SUBSTITUTE('Special Help Table'!$A184,"and ",""))=0),MID('Special Help Table'!$A184,SEARCH(",",'Special Help Table'!$A184)+1,(SEARCH(";",'Special Help Table'!$A184)-1)-SEARCH(",",'Special Help Table'!$A184))&amp;" "&amp;LEFT('Special Help Table'!$A184,SEARCH(",",'Special Help Table'!$A184)-1)&amp;";"&amp;RIGHT('Special Help Table'!$A184,LEN('Special Help Table'!$A184)-SEARCH(",",'Special Help Table'!$A184,SEARCH(";",'Special Help Table'!$A184)))&amp;" "&amp;MID('Special Help Table'!$A184,SEARCH("; ",'Special Help Table'!$A184)+2,SEARCH(",",'Special Help Table'!$A184,SEARCH(";",'Special Help Table'!$A184))-SEARCH(";",'Special Help Table'!$A184)-2),AND(LEN('Special Help Table'!$A184)-LEN(SUBSTITUTE('Special Help Table'!$A184,"and ",""))=0,LEN('Special Help Table'!$A184)-LEN(SUBSTITUTE('Special Help Table'!$A184,";",""))=0),'Special Help Table'!$A184,AND(LEN('Special Help Table'!$A184)-LEN(SUBSTITUTE('Special Help Table'!$A184,",","")=1),LEN('Special Help Table'!$A184)-LEN(SUBSTITUTE('Special Help Table'!$A184," ","")=20),LEN('Special Help Table'!$A184)-LEN(SUBSTITUTE('Special Help Table'!$A184," and",""))=0,LEN('Special Help Table'!$A184)-LEN(SUBSTITUTE('Special Help Table'!$A184,",","",FIND(" ",'Special Help Table'!$A184)+1))=0),RIGHT('Special Help Table'!$A184,LEN('Special Help Table'!$A184)-FIND(", ",'Special Help Table'!$A184))&amp;" "&amp;LEFT('Special Help Table'!$A184,FIND(",",'Special Help Table'!$A184)-1),AND(LEN('Special Help Table'!$A184)-LEN(SUBSTITUTE('Special Help Table'!$A184,"editor",""))=6,LEN('Special Help Table'!$A184)-LEN(SUBSTITUTE('Special Help Table'!$A184,"(",""))=0,LEN('Special Help Table'!$A184)-LEN(SUBSTITUTE('Special Help Table'!$A184,"and",""))=3,LEN('Special Help Table'!$A184)-LEN(SUBSTITUTE('Special Help Table'!$A184,",",""))=1,LEN('Special Help Table'!$A184)-LEN(SUBSTITUTE('Special Help Table'!$A184," ",""))=3),'Special Help Table'!$A184)</f>
        <v xml:space="preserve"> Ed Dunlop</v>
      </c>
      <c r="C184" s="4" t="s">
        <v>404</v>
      </c>
      <c r="D184" s="2"/>
      <c r="E184" s="2" t="s">
        <v>16</v>
      </c>
      <c r="F184" s="2" t="s">
        <v>72</v>
      </c>
      <c r="G184" s="2"/>
      <c r="H184" s="2"/>
      <c r="I184" s="2"/>
      <c r="J184" s="2"/>
      <c r="K184" s="3">
        <v>41041</v>
      </c>
      <c r="L184" s="2"/>
      <c r="M184" s="2"/>
      <c r="N184" s="2" t="s">
        <v>18</v>
      </c>
    </row>
    <row r="185" spans="1:14" ht="15.75" customHeight="1" x14ac:dyDescent="0.35">
      <c r="A185" s="2" t="s">
        <v>402</v>
      </c>
      <c r="B185" s="2" t="str" cm="1">
        <f t="array" ref="B185">_xlfn.IFS(AND(LEN('Special Help Table'!$A185)-(LEN(SUBSTITUTE('Special Help Table'!$A185,";","")))=0,LEN('Special Help Table'!$A185)-LEN(SUBSTITUTE('Special Help Table'!$A185,",",""))=1,LEN('Special Help Table'!$A185)-LEN(SUBSTITUTE('Special Help Table'!$A185,"and ",""))=0),MID('Special Help Table'!$A185&amp;" "&amp;'Special Help Table'!$A185,SEARCH(", ",'Special Help Table'!$A185)+1,LEN('Special Help Table'!$A185)),AND(LEN('Special Help Table'!$A185)-(LEN(SUBSTITUTE('Special Help Table'!$A185,";","")))=1,LEN('Special Help Table'!$A185)-LEN(SUBSTITUTE('Special Help Table'!$A185,"and ",""))=0),MID('Special Help Table'!$A185,SEARCH(",",'Special Help Table'!$A185)+1,(SEARCH(";",'Special Help Table'!$A185)-1)-SEARCH(",",'Special Help Table'!$A185))&amp;" "&amp;LEFT('Special Help Table'!$A185,SEARCH(",",'Special Help Table'!$A185)-1)&amp;";"&amp;RIGHT('Special Help Table'!$A185,LEN('Special Help Table'!$A185)-SEARCH(",",'Special Help Table'!$A185,SEARCH(";",'Special Help Table'!$A185)))&amp;" "&amp;MID('Special Help Table'!$A185,SEARCH("; ",'Special Help Table'!$A185)+2,SEARCH(",",'Special Help Table'!$A185,SEARCH(";",'Special Help Table'!$A185))-SEARCH(";",'Special Help Table'!$A185)-2),AND(LEN('Special Help Table'!$A185)-LEN(SUBSTITUTE('Special Help Table'!$A185,"and ",""))=0,LEN('Special Help Table'!$A185)-LEN(SUBSTITUTE('Special Help Table'!$A185,";",""))=0),'Special Help Table'!$A185,AND(LEN('Special Help Table'!$A185)-LEN(SUBSTITUTE('Special Help Table'!$A185,",","")=1),LEN('Special Help Table'!$A185)-LEN(SUBSTITUTE('Special Help Table'!$A185," ","")=20),LEN('Special Help Table'!$A185)-LEN(SUBSTITUTE('Special Help Table'!$A185," and",""))=0,LEN('Special Help Table'!$A185)-LEN(SUBSTITUTE('Special Help Table'!$A185,",","",FIND(" ",'Special Help Table'!$A185)+1))=0),RIGHT('Special Help Table'!$A185,LEN('Special Help Table'!$A185)-FIND(", ",'Special Help Table'!$A185))&amp;" "&amp;LEFT('Special Help Table'!$A185,FIND(",",'Special Help Table'!$A185)-1),AND(LEN('Special Help Table'!$A185)-LEN(SUBSTITUTE('Special Help Table'!$A185,"editor",""))=6,LEN('Special Help Table'!$A185)-LEN(SUBSTITUTE('Special Help Table'!$A185,"(",""))=0,LEN('Special Help Table'!$A185)-LEN(SUBSTITUTE('Special Help Table'!$A185,"and",""))=3,LEN('Special Help Table'!$A185)-LEN(SUBSTITUTE('Special Help Table'!$A185,",",""))=1,LEN('Special Help Table'!$A185)-LEN(SUBSTITUTE('Special Help Table'!$A185," ",""))=3),'Special Help Table'!$A185)</f>
        <v xml:space="preserve"> Ed Dunlop</v>
      </c>
      <c r="C185" s="4" t="s">
        <v>405</v>
      </c>
      <c r="D185" s="2"/>
      <c r="E185" s="2" t="s">
        <v>16</v>
      </c>
      <c r="F185" s="2" t="s">
        <v>72</v>
      </c>
      <c r="G185" s="2"/>
      <c r="H185" s="2"/>
      <c r="I185" s="2"/>
      <c r="J185" s="2"/>
      <c r="K185" s="3">
        <v>41164</v>
      </c>
      <c r="L185" s="2"/>
      <c r="M185" s="2"/>
      <c r="N185" s="2" t="s">
        <v>18</v>
      </c>
    </row>
    <row r="186" spans="1:14" ht="15.75" customHeight="1" x14ac:dyDescent="0.35">
      <c r="A186" s="2" t="s">
        <v>406</v>
      </c>
      <c r="B186" s="2" t="str" cm="1">
        <f t="array" ref="B186">_xlfn.IFS(AND(LEN('Special Help Table'!$A186)-(LEN(SUBSTITUTE('Special Help Table'!$A186,";","")))=0,LEN('Special Help Table'!$A186)-LEN(SUBSTITUTE('Special Help Table'!$A186,",",""))=1,LEN('Special Help Table'!$A186)-LEN(SUBSTITUTE('Special Help Table'!$A186,"and ",""))=0),MID('Special Help Table'!$A186&amp;" "&amp;'Special Help Table'!$A186,SEARCH(", ",'Special Help Table'!$A186)+1,LEN('Special Help Table'!$A186)),AND(LEN('Special Help Table'!$A186)-(LEN(SUBSTITUTE('Special Help Table'!$A186,";","")))=1,LEN('Special Help Table'!$A186)-LEN(SUBSTITUTE('Special Help Table'!$A186,"and ",""))=0),MID('Special Help Table'!$A186,SEARCH(",",'Special Help Table'!$A186)+1,(SEARCH(";",'Special Help Table'!$A186)-1)-SEARCH(",",'Special Help Table'!$A186))&amp;" "&amp;LEFT('Special Help Table'!$A186,SEARCH(",",'Special Help Table'!$A186)-1)&amp;";"&amp;RIGHT('Special Help Table'!$A186,LEN('Special Help Table'!$A186)-SEARCH(",",'Special Help Table'!$A186,SEARCH(";",'Special Help Table'!$A186)))&amp;" "&amp;MID('Special Help Table'!$A186,SEARCH("; ",'Special Help Table'!$A186)+2,SEARCH(",",'Special Help Table'!$A186,SEARCH(";",'Special Help Table'!$A186))-SEARCH(";",'Special Help Table'!$A186)-2),AND(LEN('Special Help Table'!$A186)-LEN(SUBSTITUTE('Special Help Table'!$A186,"and ",""))=0,LEN('Special Help Table'!$A186)-LEN(SUBSTITUTE('Special Help Table'!$A186,";",""))=0),'Special Help Table'!$A186,AND(LEN('Special Help Table'!$A186)-LEN(SUBSTITUTE('Special Help Table'!$A186,",","")=1),LEN('Special Help Table'!$A186)-LEN(SUBSTITUTE('Special Help Table'!$A186," ","")=20),LEN('Special Help Table'!$A186)-LEN(SUBSTITUTE('Special Help Table'!$A186," and",""))=0,LEN('Special Help Table'!$A186)-LEN(SUBSTITUTE('Special Help Table'!$A186,",","",FIND(" ",'Special Help Table'!$A186)+1))=0),RIGHT('Special Help Table'!$A186,LEN('Special Help Table'!$A186)-FIND(", ",'Special Help Table'!$A186))&amp;" "&amp;LEFT('Special Help Table'!$A186,FIND(",",'Special Help Table'!$A186)-1),AND(LEN('Special Help Table'!$A186)-LEN(SUBSTITUTE('Special Help Table'!$A186,"editor",""))=6,LEN('Special Help Table'!$A186)-LEN(SUBSTITUTE('Special Help Table'!$A186,"(",""))=0,LEN('Special Help Table'!$A186)-LEN(SUBSTITUTE('Special Help Table'!$A186,"and",""))=3,LEN('Special Help Table'!$A186)-LEN(SUBSTITUTE('Special Help Table'!$A186,",",""))=1,LEN('Special Help Table'!$A186)-LEN(SUBSTITUTE('Special Help Table'!$A186," ",""))=3),'Special Help Table'!$A186)</f>
        <v>DVD Accompaniment</v>
      </c>
      <c r="C186" s="4" t="s">
        <v>407</v>
      </c>
      <c r="D186" s="2" t="s">
        <v>408</v>
      </c>
      <c r="E186" s="2" t="s">
        <v>16</v>
      </c>
      <c r="F186" s="2" t="s">
        <v>39</v>
      </c>
      <c r="G186" s="2"/>
      <c r="H186" s="2"/>
      <c r="I186" s="2"/>
      <c r="J186" s="2"/>
      <c r="K186" s="3">
        <v>42511</v>
      </c>
      <c r="L186" s="2"/>
      <c r="M186" s="2"/>
      <c r="N186" s="2" t="s">
        <v>18</v>
      </c>
    </row>
    <row r="187" spans="1:14" ht="15.75" customHeight="1" x14ac:dyDescent="0.35">
      <c r="A187" s="2" t="s">
        <v>409</v>
      </c>
      <c r="B187" s="2" t="str" cm="1">
        <f t="array" ref="B187">_xlfn.IFS(AND(LEN('Special Help Table'!$A187)-(LEN(SUBSTITUTE('Special Help Table'!$A187,";","")))=0,LEN('Special Help Table'!$A187)-LEN(SUBSTITUTE('Special Help Table'!$A187,",",""))=1,LEN('Special Help Table'!$A187)-LEN(SUBSTITUTE('Special Help Table'!$A187,"and ",""))=0),MID('Special Help Table'!$A187&amp;" "&amp;'Special Help Table'!$A187,SEARCH(", ",'Special Help Table'!$A187)+1,LEN('Special Help Table'!$A187)),AND(LEN('Special Help Table'!$A187)-(LEN(SUBSTITUTE('Special Help Table'!$A187,";","")))=1,LEN('Special Help Table'!$A187)-LEN(SUBSTITUTE('Special Help Table'!$A187,"and ",""))=0),MID('Special Help Table'!$A187,SEARCH(",",'Special Help Table'!$A187)+1,(SEARCH(";",'Special Help Table'!$A187)-1)-SEARCH(",",'Special Help Table'!$A187))&amp;" "&amp;LEFT('Special Help Table'!$A187,SEARCH(",",'Special Help Table'!$A187)-1)&amp;";"&amp;RIGHT('Special Help Table'!$A187,LEN('Special Help Table'!$A187)-SEARCH(",",'Special Help Table'!$A187,SEARCH(";",'Special Help Table'!$A187)))&amp;" "&amp;MID('Special Help Table'!$A187,SEARCH("; ",'Special Help Table'!$A187)+2,SEARCH(",",'Special Help Table'!$A187,SEARCH(";",'Special Help Table'!$A187))-SEARCH(";",'Special Help Table'!$A187)-2),AND(LEN('Special Help Table'!$A187)-LEN(SUBSTITUTE('Special Help Table'!$A187,"and ",""))=0,LEN('Special Help Table'!$A187)-LEN(SUBSTITUTE('Special Help Table'!$A187,";",""))=0),'Special Help Table'!$A187,AND(LEN('Special Help Table'!$A187)-LEN(SUBSTITUTE('Special Help Table'!$A187,",","")=1),LEN('Special Help Table'!$A187)-LEN(SUBSTITUTE('Special Help Table'!$A187," ","")=20),LEN('Special Help Table'!$A187)-LEN(SUBSTITUTE('Special Help Table'!$A187," and",""))=0,LEN('Special Help Table'!$A187)-LEN(SUBSTITUTE('Special Help Table'!$A187,",","",FIND(" ",'Special Help Table'!$A187)+1))=0),RIGHT('Special Help Table'!$A187,LEN('Special Help Table'!$A187)-FIND(", ",'Special Help Table'!$A187))&amp;" "&amp;LEFT('Special Help Table'!$A187,FIND(",",'Special Help Table'!$A187)-1),AND(LEN('Special Help Table'!$A187)-LEN(SUBSTITUTE('Special Help Table'!$A187,"editor",""))=6,LEN('Special Help Table'!$A187)-LEN(SUBSTITUTE('Special Help Table'!$A187,"(",""))=0,LEN('Special Help Table'!$A187)-LEN(SUBSTITUTE('Special Help Table'!$A187,"and",""))=3,LEN('Special Help Table'!$A187)-LEN(SUBSTITUTE('Special Help Table'!$A187,",",""))=1,LEN('Special Help Table'!$A187)-LEN(SUBSTITUTE('Special Help Table'!$A187," ",""))=3),'Special Help Table'!$A187)</f>
        <v xml:space="preserve"> Ellen ed Dykas</v>
      </c>
      <c r="C187" s="4" t="s">
        <v>410</v>
      </c>
      <c r="D187" s="2"/>
      <c r="E187" s="2" t="s">
        <v>16</v>
      </c>
      <c r="F187" s="2" t="s">
        <v>17</v>
      </c>
      <c r="G187" s="2"/>
      <c r="H187" s="2"/>
      <c r="I187" s="2"/>
      <c r="J187" s="2" t="s">
        <v>411</v>
      </c>
      <c r="K187" s="3">
        <v>41621</v>
      </c>
      <c r="L187" s="2"/>
      <c r="M187" s="2"/>
      <c r="N187" s="2" t="s">
        <v>18</v>
      </c>
    </row>
    <row r="188" spans="1:14" ht="15.75" customHeight="1" x14ac:dyDescent="0.35">
      <c r="A188" s="2" t="s">
        <v>412</v>
      </c>
      <c r="B188" s="2" t="str" cm="1">
        <f t="array" ref="B188">_xlfn.IFS(AND(LEN('Special Help Table'!$A188)-(LEN(SUBSTITUTE('Special Help Table'!$A188,";","")))=0,LEN('Special Help Table'!$A188)-LEN(SUBSTITUTE('Special Help Table'!$A188,",",""))=1,LEN('Special Help Table'!$A188)-LEN(SUBSTITUTE('Special Help Table'!$A188,"and ",""))=0),MID('Special Help Table'!$A188&amp;" "&amp;'Special Help Table'!$A188,SEARCH(", ",'Special Help Table'!$A188)+1,LEN('Special Help Table'!$A188)),AND(LEN('Special Help Table'!$A188)-(LEN(SUBSTITUTE('Special Help Table'!$A188,";","")))=1,LEN('Special Help Table'!$A188)-LEN(SUBSTITUTE('Special Help Table'!$A188,"and ",""))=0),MID('Special Help Table'!$A188,SEARCH(",",'Special Help Table'!$A188)+1,(SEARCH(";",'Special Help Table'!$A188)-1)-SEARCH(",",'Special Help Table'!$A188))&amp;" "&amp;LEFT('Special Help Table'!$A188,SEARCH(",",'Special Help Table'!$A188)-1)&amp;";"&amp;RIGHT('Special Help Table'!$A188,LEN('Special Help Table'!$A188)-SEARCH(",",'Special Help Table'!$A188,SEARCH(";",'Special Help Table'!$A188)))&amp;" "&amp;MID('Special Help Table'!$A188,SEARCH("; ",'Special Help Table'!$A188)+2,SEARCH(",",'Special Help Table'!$A188,SEARCH(";",'Special Help Table'!$A188))-SEARCH(";",'Special Help Table'!$A188)-2),AND(LEN('Special Help Table'!$A188)-LEN(SUBSTITUTE('Special Help Table'!$A188,"and ",""))=0,LEN('Special Help Table'!$A188)-LEN(SUBSTITUTE('Special Help Table'!$A188,";",""))=0),'Special Help Table'!$A188,AND(LEN('Special Help Table'!$A188)-LEN(SUBSTITUTE('Special Help Table'!$A188,",","")=1),LEN('Special Help Table'!$A188)-LEN(SUBSTITUTE('Special Help Table'!$A188," ","")=20),LEN('Special Help Table'!$A188)-LEN(SUBSTITUTE('Special Help Table'!$A188," and",""))=0,LEN('Special Help Table'!$A188)-LEN(SUBSTITUTE('Special Help Table'!$A188,",","",FIND(" ",'Special Help Table'!$A188)+1))=0),RIGHT('Special Help Table'!$A188,LEN('Special Help Table'!$A188)-FIND(", ",'Special Help Table'!$A188))&amp;" "&amp;LEFT('Special Help Table'!$A188,FIND(",",'Special Help Table'!$A188)-1),AND(LEN('Special Help Table'!$A188)-LEN(SUBSTITUTE('Special Help Table'!$A188,"editor",""))=6,LEN('Special Help Table'!$A188)-LEN(SUBSTITUTE('Special Help Table'!$A188,"(",""))=0,LEN('Special Help Table'!$A188)-LEN(SUBSTITUTE('Special Help Table'!$A188,"and",""))=3,LEN('Special Help Table'!$A188)-LEN(SUBSTITUTE('Special Help Table'!$A188,",",""))=1,LEN('Special Help Table'!$A188)-LEN(SUBSTITUTE('Special Help Table'!$A188," ",""))=3),'Special Help Table'!$A188)</f>
        <v xml:space="preserve"> Brock Eastman</v>
      </c>
      <c r="C188" s="4" t="s">
        <v>413</v>
      </c>
      <c r="D188" s="2" t="s">
        <v>414</v>
      </c>
      <c r="E188" s="2" t="s">
        <v>16</v>
      </c>
      <c r="F188" s="2" t="s">
        <v>72</v>
      </c>
      <c r="G188" s="2" t="s">
        <v>152</v>
      </c>
      <c r="H188" s="2"/>
      <c r="I188" s="2"/>
      <c r="J188" s="2"/>
      <c r="K188" s="3"/>
      <c r="L188" s="2"/>
      <c r="M188" s="2"/>
      <c r="N188" s="2" t="s">
        <v>18</v>
      </c>
    </row>
    <row r="189" spans="1:14" ht="15.75" customHeight="1" x14ac:dyDescent="0.35">
      <c r="A189" s="2" t="s">
        <v>412</v>
      </c>
      <c r="B189" s="2" t="str" cm="1">
        <f t="array" ref="B189">_xlfn.IFS(AND(LEN('Special Help Table'!$A189)-(LEN(SUBSTITUTE('Special Help Table'!$A189,";","")))=0,LEN('Special Help Table'!$A189)-LEN(SUBSTITUTE('Special Help Table'!$A189,",",""))=1,LEN('Special Help Table'!$A189)-LEN(SUBSTITUTE('Special Help Table'!$A189,"and ",""))=0),MID('Special Help Table'!$A189&amp;" "&amp;'Special Help Table'!$A189,SEARCH(", ",'Special Help Table'!$A189)+1,LEN('Special Help Table'!$A189)),AND(LEN('Special Help Table'!$A189)-(LEN(SUBSTITUTE('Special Help Table'!$A189,";","")))=1,LEN('Special Help Table'!$A189)-LEN(SUBSTITUTE('Special Help Table'!$A189,"and ",""))=0),MID('Special Help Table'!$A189,SEARCH(",",'Special Help Table'!$A189)+1,(SEARCH(";",'Special Help Table'!$A189)-1)-SEARCH(",",'Special Help Table'!$A189))&amp;" "&amp;LEFT('Special Help Table'!$A189,SEARCH(",",'Special Help Table'!$A189)-1)&amp;";"&amp;RIGHT('Special Help Table'!$A189,LEN('Special Help Table'!$A189)-SEARCH(",",'Special Help Table'!$A189,SEARCH(";",'Special Help Table'!$A189)))&amp;" "&amp;MID('Special Help Table'!$A189,SEARCH("; ",'Special Help Table'!$A189)+2,SEARCH(",",'Special Help Table'!$A189,SEARCH(";",'Special Help Table'!$A189))-SEARCH(";",'Special Help Table'!$A189)-2),AND(LEN('Special Help Table'!$A189)-LEN(SUBSTITUTE('Special Help Table'!$A189,"and ",""))=0,LEN('Special Help Table'!$A189)-LEN(SUBSTITUTE('Special Help Table'!$A189,";",""))=0),'Special Help Table'!$A189,AND(LEN('Special Help Table'!$A189)-LEN(SUBSTITUTE('Special Help Table'!$A189,",","")=1),LEN('Special Help Table'!$A189)-LEN(SUBSTITUTE('Special Help Table'!$A189," ","")=20),LEN('Special Help Table'!$A189)-LEN(SUBSTITUTE('Special Help Table'!$A189," and",""))=0,LEN('Special Help Table'!$A189)-LEN(SUBSTITUTE('Special Help Table'!$A189,",","",FIND(" ",'Special Help Table'!$A189)+1))=0),RIGHT('Special Help Table'!$A189,LEN('Special Help Table'!$A189)-FIND(", ",'Special Help Table'!$A189))&amp;" "&amp;LEFT('Special Help Table'!$A189,FIND(",",'Special Help Table'!$A189)-1),AND(LEN('Special Help Table'!$A189)-LEN(SUBSTITUTE('Special Help Table'!$A189,"editor",""))=6,LEN('Special Help Table'!$A189)-LEN(SUBSTITUTE('Special Help Table'!$A189,"(",""))=0,LEN('Special Help Table'!$A189)-LEN(SUBSTITUTE('Special Help Table'!$A189,"and",""))=3,LEN('Special Help Table'!$A189)-LEN(SUBSTITUTE('Special Help Table'!$A189,",",""))=1,LEN('Special Help Table'!$A189)-LEN(SUBSTITUTE('Special Help Table'!$A189," ",""))=3),'Special Help Table'!$A189)</f>
        <v xml:space="preserve"> Brock Eastman</v>
      </c>
      <c r="C189" s="4" t="s">
        <v>415</v>
      </c>
      <c r="D189" s="2" t="s">
        <v>414</v>
      </c>
      <c r="E189" s="2" t="s">
        <v>16</v>
      </c>
      <c r="F189" s="2" t="s">
        <v>72</v>
      </c>
      <c r="G189" s="2" t="s">
        <v>152</v>
      </c>
      <c r="H189" s="2"/>
      <c r="I189" s="2"/>
      <c r="J189" s="2"/>
      <c r="K189" s="3"/>
      <c r="L189" s="2"/>
      <c r="M189" s="2"/>
      <c r="N189" s="2" t="s">
        <v>18</v>
      </c>
    </row>
    <row r="190" spans="1:14" ht="15.75" customHeight="1" x14ac:dyDescent="0.35">
      <c r="A190" s="2" t="s">
        <v>412</v>
      </c>
      <c r="B190" s="2" t="str" cm="1">
        <f t="array" ref="B190">_xlfn.IFS(AND(LEN('Special Help Table'!$A190)-(LEN(SUBSTITUTE('Special Help Table'!$A190,";","")))=0,LEN('Special Help Table'!$A190)-LEN(SUBSTITUTE('Special Help Table'!$A190,",",""))=1,LEN('Special Help Table'!$A190)-LEN(SUBSTITUTE('Special Help Table'!$A190,"and ",""))=0),MID('Special Help Table'!$A190&amp;" "&amp;'Special Help Table'!$A190,SEARCH(", ",'Special Help Table'!$A190)+1,LEN('Special Help Table'!$A190)),AND(LEN('Special Help Table'!$A190)-(LEN(SUBSTITUTE('Special Help Table'!$A190,";","")))=1,LEN('Special Help Table'!$A190)-LEN(SUBSTITUTE('Special Help Table'!$A190,"and ",""))=0),MID('Special Help Table'!$A190,SEARCH(",",'Special Help Table'!$A190)+1,(SEARCH(";",'Special Help Table'!$A190)-1)-SEARCH(",",'Special Help Table'!$A190))&amp;" "&amp;LEFT('Special Help Table'!$A190,SEARCH(",",'Special Help Table'!$A190)-1)&amp;";"&amp;RIGHT('Special Help Table'!$A190,LEN('Special Help Table'!$A190)-SEARCH(",",'Special Help Table'!$A190,SEARCH(";",'Special Help Table'!$A190)))&amp;" "&amp;MID('Special Help Table'!$A190,SEARCH("; ",'Special Help Table'!$A190)+2,SEARCH(",",'Special Help Table'!$A190,SEARCH(";",'Special Help Table'!$A190))-SEARCH(";",'Special Help Table'!$A190)-2),AND(LEN('Special Help Table'!$A190)-LEN(SUBSTITUTE('Special Help Table'!$A190,"and ",""))=0,LEN('Special Help Table'!$A190)-LEN(SUBSTITUTE('Special Help Table'!$A190,";",""))=0),'Special Help Table'!$A190,AND(LEN('Special Help Table'!$A190)-LEN(SUBSTITUTE('Special Help Table'!$A190,",","")=1),LEN('Special Help Table'!$A190)-LEN(SUBSTITUTE('Special Help Table'!$A190," ","")=20),LEN('Special Help Table'!$A190)-LEN(SUBSTITUTE('Special Help Table'!$A190," and",""))=0,LEN('Special Help Table'!$A190)-LEN(SUBSTITUTE('Special Help Table'!$A190,",","",FIND(" ",'Special Help Table'!$A190)+1))=0),RIGHT('Special Help Table'!$A190,LEN('Special Help Table'!$A190)-FIND(", ",'Special Help Table'!$A190))&amp;" "&amp;LEFT('Special Help Table'!$A190,FIND(",",'Special Help Table'!$A190)-1),AND(LEN('Special Help Table'!$A190)-LEN(SUBSTITUTE('Special Help Table'!$A190,"editor",""))=6,LEN('Special Help Table'!$A190)-LEN(SUBSTITUTE('Special Help Table'!$A190,"(",""))=0,LEN('Special Help Table'!$A190)-LEN(SUBSTITUTE('Special Help Table'!$A190,"and",""))=3,LEN('Special Help Table'!$A190)-LEN(SUBSTITUTE('Special Help Table'!$A190,",",""))=1,LEN('Special Help Table'!$A190)-LEN(SUBSTITUTE('Special Help Table'!$A190," ",""))=3),'Special Help Table'!$A190)</f>
        <v xml:space="preserve"> Brock Eastman</v>
      </c>
      <c r="C190" s="4" t="s">
        <v>416</v>
      </c>
      <c r="D190" s="2" t="s">
        <v>414</v>
      </c>
      <c r="E190" s="2" t="s">
        <v>16</v>
      </c>
      <c r="F190" s="2" t="s">
        <v>72</v>
      </c>
      <c r="G190" s="2" t="s">
        <v>152</v>
      </c>
      <c r="H190" s="2"/>
      <c r="I190" s="2"/>
      <c r="J190" s="2"/>
      <c r="K190" s="3"/>
      <c r="L190" s="2"/>
      <c r="M190" s="2"/>
      <c r="N190" s="2" t="s">
        <v>18</v>
      </c>
    </row>
    <row r="191" spans="1:14" ht="15.75" customHeight="1" x14ac:dyDescent="0.35">
      <c r="A191" s="2" t="s">
        <v>412</v>
      </c>
      <c r="B191" s="2" t="str" cm="1">
        <f t="array" ref="B191">_xlfn.IFS(AND(LEN('Special Help Table'!$A191)-(LEN(SUBSTITUTE('Special Help Table'!$A191,";","")))=0,LEN('Special Help Table'!$A191)-LEN(SUBSTITUTE('Special Help Table'!$A191,",",""))=1,LEN('Special Help Table'!$A191)-LEN(SUBSTITUTE('Special Help Table'!$A191,"and ",""))=0),MID('Special Help Table'!$A191&amp;" "&amp;'Special Help Table'!$A191,SEARCH(", ",'Special Help Table'!$A191)+1,LEN('Special Help Table'!$A191)),AND(LEN('Special Help Table'!$A191)-(LEN(SUBSTITUTE('Special Help Table'!$A191,";","")))=1,LEN('Special Help Table'!$A191)-LEN(SUBSTITUTE('Special Help Table'!$A191,"and ",""))=0),MID('Special Help Table'!$A191,SEARCH(",",'Special Help Table'!$A191)+1,(SEARCH(";",'Special Help Table'!$A191)-1)-SEARCH(",",'Special Help Table'!$A191))&amp;" "&amp;LEFT('Special Help Table'!$A191,SEARCH(",",'Special Help Table'!$A191)-1)&amp;";"&amp;RIGHT('Special Help Table'!$A191,LEN('Special Help Table'!$A191)-SEARCH(",",'Special Help Table'!$A191,SEARCH(";",'Special Help Table'!$A191)))&amp;" "&amp;MID('Special Help Table'!$A191,SEARCH("; ",'Special Help Table'!$A191)+2,SEARCH(",",'Special Help Table'!$A191,SEARCH(";",'Special Help Table'!$A191))-SEARCH(";",'Special Help Table'!$A191)-2),AND(LEN('Special Help Table'!$A191)-LEN(SUBSTITUTE('Special Help Table'!$A191,"and ",""))=0,LEN('Special Help Table'!$A191)-LEN(SUBSTITUTE('Special Help Table'!$A191,";",""))=0),'Special Help Table'!$A191,AND(LEN('Special Help Table'!$A191)-LEN(SUBSTITUTE('Special Help Table'!$A191,",","")=1),LEN('Special Help Table'!$A191)-LEN(SUBSTITUTE('Special Help Table'!$A191," ","")=20),LEN('Special Help Table'!$A191)-LEN(SUBSTITUTE('Special Help Table'!$A191," and",""))=0,LEN('Special Help Table'!$A191)-LEN(SUBSTITUTE('Special Help Table'!$A191,",","",FIND(" ",'Special Help Table'!$A191)+1))=0),RIGHT('Special Help Table'!$A191,LEN('Special Help Table'!$A191)-FIND(", ",'Special Help Table'!$A191))&amp;" "&amp;LEFT('Special Help Table'!$A191,FIND(",",'Special Help Table'!$A191)-1),AND(LEN('Special Help Table'!$A191)-LEN(SUBSTITUTE('Special Help Table'!$A191,"editor",""))=6,LEN('Special Help Table'!$A191)-LEN(SUBSTITUTE('Special Help Table'!$A191,"(",""))=0,LEN('Special Help Table'!$A191)-LEN(SUBSTITUTE('Special Help Table'!$A191,"and",""))=3,LEN('Special Help Table'!$A191)-LEN(SUBSTITUTE('Special Help Table'!$A191,",",""))=1,LEN('Special Help Table'!$A191)-LEN(SUBSTITUTE('Special Help Table'!$A191," ",""))=3),'Special Help Table'!$A191)</f>
        <v xml:space="preserve"> Brock Eastman</v>
      </c>
      <c r="C191" s="4" t="s">
        <v>417</v>
      </c>
      <c r="D191" s="2" t="s">
        <v>414</v>
      </c>
      <c r="E191" s="2" t="s">
        <v>16</v>
      </c>
      <c r="F191" s="2" t="s">
        <v>72</v>
      </c>
      <c r="G191" s="2" t="s">
        <v>152</v>
      </c>
      <c r="H191" s="2"/>
      <c r="I191" s="2"/>
      <c r="J191" s="2"/>
      <c r="K191" s="3"/>
      <c r="L191" s="2"/>
      <c r="M191" s="2"/>
      <c r="N191" s="2" t="s">
        <v>18</v>
      </c>
    </row>
    <row r="192" spans="1:14" ht="15.75" customHeight="1" x14ac:dyDescent="0.35">
      <c r="A192" s="2" t="s">
        <v>418</v>
      </c>
      <c r="B192" s="2" t="str" cm="1">
        <f t="array" ref="B192">_xlfn.IFS(AND(LEN('Special Help Table'!$A192)-(LEN(SUBSTITUTE('Special Help Table'!$A192,";","")))=0,LEN('Special Help Table'!$A192)-LEN(SUBSTITUTE('Special Help Table'!$A192,",",""))=1,LEN('Special Help Table'!$A192)-LEN(SUBSTITUTE('Special Help Table'!$A192,"and ",""))=0),MID('Special Help Table'!$A192&amp;" "&amp;'Special Help Table'!$A192,SEARCH(", ",'Special Help Table'!$A192)+1,LEN('Special Help Table'!$A192)),AND(LEN('Special Help Table'!$A192)-(LEN(SUBSTITUTE('Special Help Table'!$A192,";","")))=1,LEN('Special Help Table'!$A192)-LEN(SUBSTITUTE('Special Help Table'!$A192,"and ",""))=0),MID('Special Help Table'!$A192,SEARCH(",",'Special Help Table'!$A192)+1,(SEARCH(";",'Special Help Table'!$A192)-1)-SEARCH(",",'Special Help Table'!$A192))&amp;" "&amp;LEFT('Special Help Table'!$A192,SEARCH(",",'Special Help Table'!$A192)-1)&amp;";"&amp;RIGHT('Special Help Table'!$A192,LEN('Special Help Table'!$A192)-SEARCH(",",'Special Help Table'!$A192,SEARCH(";",'Special Help Table'!$A192)))&amp;" "&amp;MID('Special Help Table'!$A192,SEARCH("; ",'Special Help Table'!$A192)+2,SEARCH(",",'Special Help Table'!$A192,SEARCH(";",'Special Help Table'!$A192))-SEARCH(";",'Special Help Table'!$A192)-2),AND(LEN('Special Help Table'!$A192)-LEN(SUBSTITUTE('Special Help Table'!$A192,"and ",""))=0,LEN('Special Help Table'!$A192)-LEN(SUBSTITUTE('Special Help Table'!$A192,";",""))=0),'Special Help Table'!$A192,AND(LEN('Special Help Table'!$A192)-LEN(SUBSTITUTE('Special Help Table'!$A192,",","")=1),LEN('Special Help Table'!$A192)-LEN(SUBSTITUTE('Special Help Table'!$A192," ","")=20),LEN('Special Help Table'!$A192)-LEN(SUBSTITUTE('Special Help Table'!$A192," and",""))=0,LEN('Special Help Table'!$A192)-LEN(SUBSTITUTE('Special Help Table'!$A192,",","",FIND(" ",'Special Help Table'!$A192)+1))=0),RIGHT('Special Help Table'!$A192,LEN('Special Help Table'!$A192)-FIND(", ",'Special Help Table'!$A192))&amp;" "&amp;LEFT('Special Help Table'!$A192,FIND(",",'Special Help Table'!$A192)-1),AND(LEN('Special Help Table'!$A192)-LEN(SUBSTITUTE('Special Help Table'!$A192,"editor",""))=6,LEN('Special Help Table'!$A192)-LEN(SUBSTITUTE('Special Help Table'!$A192,"(",""))=0,LEN('Special Help Table'!$A192)-LEN(SUBSTITUTE('Special Help Table'!$A192,"and",""))=3,LEN('Special Help Table'!$A192)-LEN(SUBSTITUTE('Special Help Table'!$A192,",",""))=1,LEN('Special Help Table'!$A192)-LEN(SUBSTITUTE('Special Help Table'!$A192," ",""))=3),'Special Help Table'!$A192)</f>
        <v xml:space="preserve"> Alfred Edersheim</v>
      </c>
      <c r="C192" s="4" t="s">
        <v>419</v>
      </c>
      <c r="D192" s="2"/>
      <c r="E192" s="2" t="s">
        <v>16</v>
      </c>
      <c r="F192" s="2" t="s">
        <v>92</v>
      </c>
      <c r="G192" s="2"/>
      <c r="H192" s="2"/>
      <c r="I192" s="2"/>
      <c r="J192" s="2"/>
      <c r="K192" s="3">
        <v>40034</v>
      </c>
      <c r="L192" s="2"/>
      <c r="M192" s="2"/>
      <c r="N192" s="2" t="s">
        <v>18</v>
      </c>
    </row>
    <row r="193" spans="1:14" ht="15.75" customHeight="1" x14ac:dyDescent="0.35">
      <c r="A193" s="2" t="s">
        <v>420</v>
      </c>
      <c r="B193" s="2" t="str" cm="1">
        <f t="array" ref="B193">_xlfn.IFS(AND(LEN('Special Help Table'!$A193)-(LEN(SUBSTITUTE('Special Help Table'!$A193,";","")))=0,LEN('Special Help Table'!$A193)-LEN(SUBSTITUTE('Special Help Table'!$A193,",",""))=1,LEN('Special Help Table'!$A193)-LEN(SUBSTITUTE('Special Help Table'!$A193,"and ",""))=0),MID('Special Help Table'!$A193&amp;" "&amp;'Special Help Table'!$A193,SEARCH(", ",'Special Help Table'!$A193)+1,LEN('Special Help Table'!$A193)),AND(LEN('Special Help Table'!$A193)-(LEN(SUBSTITUTE('Special Help Table'!$A193,";","")))=1,LEN('Special Help Table'!$A193)-LEN(SUBSTITUTE('Special Help Table'!$A193,"and ",""))=0),MID('Special Help Table'!$A193,SEARCH(",",'Special Help Table'!$A193)+1,(SEARCH(";",'Special Help Table'!$A193)-1)-SEARCH(",",'Special Help Table'!$A193))&amp;" "&amp;LEFT('Special Help Table'!$A193,SEARCH(",",'Special Help Table'!$A193)-1)&amp;";"&amp;RIGHT('Special Help Table'!$A193,LEN('Special Help Table'!$A193)-SEARCH(",",'Special Help Table'!$A193,SEARCH(";",'Special Help Table'!$A193)))&amp;" "&amp;MID('Special Help Table'!$A193,SEARCH("; ",'Special Help Table'!$A193)+2,SEARCH(",",'Special Help Table'!$A193,SEARCH(";",'Special Help Table'!$A193))-SEARCH(";",'Special Help Table'!$A193)-2),AND(LEN('Special Help Table'!$A193)-LEN(SUBSTITUTE('Special Help Table'!$A193,"and ",""))=0,LEN('Special Help Table'!$A193)-LEN(SUBSTITUTE('Special Help Table'!$A193,";",""))=0),'Special Help Table'!$A193,AND(LEN('Special Help Table'!$A193)-LEN(SUBSTITUTE('Special Help Table'!$A193,",","")=1),LEN('Special Help Table'!$A193)-LEN(SUBSTITUTE('Special Help Table'!$A193," ","")=20),LEN('Special Help Table'!$A193)-LEN(SUBSTITUTE('Special Help Table'!$A193," and",""))=0,LEN('Special Help Table'!$A193)-LEN(SUBSTITUTE('Special Help Table'!$A193,",","",FIND(" ",'Special Help Table'!$A193)+1))=0),RIGHT('Special Help Table'!$A193,LEN('Special Help Table'!$A193)-FIND(", ",'Special Help Table'!$A193))&amp;" "&amp;LEFT('Special Help Table'!$A193,FIND(",",'Special Help Table'!$A193)-1),AND(LEN('Special Help Table'!$A193)-LEN(SUBSTITUTE('Special Help Table'!$A193,"editor",""))=6,LEN('Special Help Table'!$A193)-LEN(SUBSTITUTE('Special Help Table'!$A193,"(",""))=0,LEN('Special Help Table'!$A193)-LEN(SUBSTITUTE('Special Help Table'!$A193,"and",""))=3,LEN('Special Help Table'!$A193)-LEN(SUBSTITUTE('Special Help Table'!$A193,",",""))=1,LEN('Special Help Table'!$A193)-LEN(SUBSTITUTE('Special Help Table'!$A193," ",""))=3),'Special Help Table'!$A193)</f>
        <v xml:space="preserve"> William Edgar</v>
      </c>
      <c r="C193" s="4" t="s">
        <v>421</v>
      </c>
      <c r="D193" s="2"/>
      <c r="E193" s="2" t="s">
        <v>16</v>
      </c>
      <c r="F193" s="2" t="s">
        <v>28</v>
      </c>
      <c r="G193" s="2" t="s">
        <v>20</v>
      </c>
      <c r="H193" s="2"/>
      <c r="I193" s="2"/>
      <c r="J193" s="2"/>
      <c r="K193" s="3">
        <v>41591</v>
      </c>
      <c r="L193" s="2"/>
      <c r="M193" s="2"/>
      <c r="N193" s="2" t="s">
        <v>18</v>
      </c>
    </row>
    <row r="194" spans="1:14" ht="15.75" customHeight="1" x14ac:dyDescent="0.35">
      <c r="A194" s="2" t="s">
        <v>420</v>
      </c>
      <c r="B194" s="2" t="str" cm="1">
        <f t="array" ref="B194">_xlfn.IFS(AND(LEN('Special Help Table'!$A194)-(LEN(SUBSTITUTE('Special Help Table'!$A194,";","")))=0,LEN('Special Help Table'!$A194)-LEN(SUBSTITUTE('Special Help Table'!$A194,",",""))=1,LEN('Special Help Table'!$A194)-LEN(SUBSTITUTE('Special Help Table'!$A194,"and ",""))=0),MID('Special Help Table'!$A194&amp;" "&amp;'Special Help Table'!$A194,SEARCH(", ",'Special Help Table'!$A194)+1,LEN('Special Help Table'!$A194)),AND(LEN('Special Help Table'!$A194)-(LEN(SUBSTITUTE('Special Help Table'!$A194,";","")))=1,LEN('Special Help Table'!$A194)-LEN(SUBSTITUTE('Special Help Table'!$A194,"and ",""))=0),MID('Special Help Table'!$A194,SEARCH(",",'Special Help Table'!$A194)+1,(SEARCH(";",'Special Help Table'!$A194)-1)-SEARCH(",",'Special Help Table'!$A194))&amp;" "&amp;LEFT('Special Help Table'!$A194,SEARCH(",",'Special Help Table'!$A194)-1)&amp;";"&amp;RIGHT('Special Help Table'!$A194,LEN('Special Help Table'!$A194)-SEARCH(",",'Special Help Table'!$A194,SEARCH(";",'Special Help Table'!$A194)))&amp;" "&amp;MID('Special Help Table'!$A194,SEARCH("; ",'Special Help Table'!$A194)+2,SEARCH(",",'Special Help Table'!$A194,SEARCH(";",'Special Help Table'!$A194))-SEARCH(";",'Special Help Table'!$A194)-2),AND(LEN('Special Help Table'!$A194)-LEN(SUBSTITUTE('Special Help Table'!$A194,"and ",""))=0,LEN('Special Help Table'!$A194)-LEN(SUBSTITUTE('Special Help Table'!$A194,";",""))=0),'Special Help Table'!$A194,AND(LEN('Special Help Table'!$A194)-LEN(SUBSTITUTE('Special Help Table'!$A194,",","")=1),LEN('Special Help Table'!$A194)-LEN(SUBSTITUTE('Special Help Table'!$A194," ","")=20),LEN('Special Help Table'!$A194)-LEN(SUBSTITUTE('Special Help Table'!$A194," and",""))=0,LEN('Special Help Table'!$A194)-LEN(SUBSTITUTE('Special Help Table'!$A194,",","",FIND(" ",'Special Help Table'!$A194)+1))=0),RIGHT('Special Help Table'!$A194,LEN('Special Help Table'!$A194)-FIND(", ",'Special Help Table'!$A194))&amp;" "&amp;LEFT('Special Help Table'!$A194,FIND(",",'Special Help Table'!$A194)-1),AND(LEN('Special Help Table'!$A194)-LEN(SUBSTITUTE('Special Help Table'!$A194,"editor",""))=6,LEN('Special Help Table'!$A194)-LEN(SUBSTITUTE('Special Help Table'!$A194,"(",""))=0,LEN('Special Help Table'!$A194)-LEN(SUBSTITUTE('Special Help Table'!$A194,"and",""))=3,LEN('Special Help Table'!$A194)-LEN(SUBSTITUTE('Special Help Table'!$A194,",",""))=1,LEN('Special Help Table'!$A194)-LEN(SUBSTITUTE('Special Help Table'!$A194," ",""))=3),'Special Help Table'!$A194)</f>
        <v xml:space="preserve"> William Edgar</v>
      </c>
      <c r="C194" s="4" t="s">
        <v>422</v>
      </c>
      <c r="D194" s="2"/>
      <c r="E194" s="2" t="s">
        <v>16</v>
      </c>
      <c r="F194" s="2" t="s">
        <v>28</v>
      </c>
      <c r="G194" s="2"/>
      <c r="H194" s="2"/>
      <c r="I194" s="2"/>
      <c r="J194" s="2" t="s">
        <v>152</v>
      </c>
      <c r="K194" s="3">
        <v>41804</v>
      </c>
      <c r="L194" s="2"/>
      <c r="M194" s="2"/>
      <c r="N194" s="2" t="s">
        <v>18</v>
      </c>
    </row>
    <row r="195" spans="1:14" ht="15.75" customHeight="1" x14ac:dyDescent="0.35">
      <c r="A195" s="2" t="s">
        <v>423</v>
      </c>
      <c r="B195" s="2" t="str" cm="1">
        <f t="array" ref="B195">_xlfn.IFS(AND(LEN('Special Help Table'!$A195)-(LEN(SUBSTITUTE('Special Help Table'!$A195,";","")))=0,LEN('Special Help Table'!$A195)-LEN(SUBSTITUTE('Special Help Table'!$A195,",",""))=1,LEN('Special Help Table'!$A195)-LEN(SUBSTITUTE('Special Help Table'!$A195,"and ",""))=0),MID('Special Help Table'!$A195&amp;" "&amp;'Special Help Table'!$A195,SEARCH(", ",'Special Help Table'!$A195)+1,LEN('Special Help Table'!$A195)),AND(LEN('Special Help Table'!$A195)-(LEN(SUBSTITUTE('Special Help Table'!$A195,";","")))=1,LEN('Special Help Table'!$A195)-LEN(SUBSTITUTE('Special Help Table'!$A195,"and ",""))=0),MID('Special Help Table'!$A195,SEARCH(",",'Special Help Table'!$A195)+1,(SEARCH(";",'Special Help Table'!$A195)-1)-SEARCH(",",'Special Help Table'!$A195))&amp;" "&amp;LEFT('Special Help Table'!$A195,SEARCH(",",'Special Help Table'!$A195)-1)&amp;";"&amp;RIGHT('Special Help Table'!$A195,LEN('Special Help Table'!$A195)-SEARCH(",",'Special Help Table'!$A195,SEARCH(";",'Special Help Table'!$A195)))&amp;" "&amp;MID('Special Help Table'!$A195,SEARCH("; ",'Special Help Table'!$A195)+2,SEARCH(",",'Special Help Table'!$A195,SEARCH(";",'Special Help Table'!$A195))-SEARCH(";",'Special Help Table'!$A195)-2),AND(LEN('Special Help Table'!$A195)-LEN(SUBSTITUTE('Special Help Table'!$A195,"and ",""))=0,LEN('Special Help Table'!$A195)-LEN(SUBSTITUTE('Special Help Table'!$A195,";",""))=0),'Special Help Table'!$A195,AND(LEN('Special Help Table'!$A195)-LEN(SUBSTITUTE('Special Help Table'!$A195,",","")=1),LEN('Special Help Table'!$A195)-LEN(SUBSTITUTE('Special Help Table'!$A195," ","")=20),LEN('Special Help Table'!$A195)-LEN(SUBSTITUTE('Special Help Table'!$A195," and",""))=0,LEN('Special Help Table'!$A195)-LEN(SUBSTITUTE('Special Help Table'!$A195,",","",FIND(" ",'Special Help Table'!$A195)+1))=0),RIGHT('Special Help Table'!$A195,LEN('Special Help Table'!$A195)-FIND(", ",'Special Help Table'!$A195))&amp;" "&amp;LEFT('Special Help Table'!$A195,FIND(",",'Special Help Table'!$A195)-1),AND(LEN('Special Help Table'!$A195)-LEN(SUBSTITUTE('Special Help Table'!$A195,"editor",""))=6,LEN('Special Help Table'!$A195)-LEN(SUBSTITUTE('Special Help Table'!$A195,"(",""))=0,LEN('Special Help Table'!$A195)-LEN(SUBSTITUTE('Special Help Table'!$A195,"and",""))=3,LEN('Special Help Table'!$A195)-LEN(SUBSTITUTE('Special Help Table'!$A195,",",""))=1,LEN('Special Help Table'!$A195)-LEN(SUBSTITUTE('Special Help Table'!$A195," ",""))=3),'Special Help Table'!$A195)</f>
        <v xml:space="preserve"> James R. Edwards</v>
      </c>
      <c r="C195" s="4" t="s">
        <v>424</v>
      </c>
      <c r="D195" s="2"/>
      <c r="E195" s="2" t="s">
        <v>16</v>
      </c>
      <c r="F195" s="2" t="s">
        <v>92</v>
      </c>
      <c r="G195" s="2"/>
      <c r="H195" s="2"/>
      <c r="I195" s="2"/>
      <c r="J195" s="2"/>
      <c r="K195" s="3">
        <v>42795</v>
      </c>
      <c r="L195" s="2"/>
      <c r="M195" s="2"/>
      <c r="N195" s="2" t="s">
        <v>18</v>
      </c>
    </row>
    <row r="196" spans="1:14" ht="15.75" customHeight="1" x14ac:dyDescent="0.35">
      <c r="A196" s="2" t="s">
        <v>425</v>
      </c>
      <c r="B196" s="2" t="str" cm="1">
        <f t="array" ref="B196">_xlfn.IFS(AND(LEN('Special Help Table'!$A196)-(LEN(SUBSTITUTE('Special Help Table'!$A196,";","")))=0,LEN('Special Help Table'!$A196)-LEN(SUBSTITUTE('Special Help Table'!$A196,",",""))=1,LEN('Special Help Table'!$A196)-LEN(SUBSTITUTE('Special Help Table'!$A196,"and ",""))=0),MID('Special Help Table'!$A196&amp;" "&amp;'Special Help Table'!$A196,SEARCH(", ",'Special Help Table'!$A196)+1,LEN('Special Help Table'!$A196)),AND(LEN('Special Help Table'!$A196)-(LEN(SUBSTITUTE('Special Help Table'!$A196,";","")))=1,LEN('Special Help Table'!$A196)-LEN(SUBSTITUTE('Special Help Table'!$A196,"and ",""))=0),MID('Special Help Table'!$A196,SEARCH(",",'Special Help Table'!$A196)+1,(SEARCH(";",'Special Help Table'!$A196)-1)-SEARCH(",",'Special Help Table'!$A196))&amp;" "&amp;LEFT('Special Help Table'!$A196,SEARCH(",",'Special Help Table'!$A196)-1)&amp;";"&amp;RIGHT('Special Help Table'!$A196,LEN('Special Help Table'!$A196)-SEARCH(",",'Special Help Table'!$A196,SEARCH(";",'Special Help Table'!$A196)))&amp;" "&amp;MID('Special Help Table'!$A196,SEARCH("; ",'Special Help Table'!$A196)+2,SEARCH(",",'Special Help Table'!$A196,SEARCH(";",'Special Help Table'!$A196))-SEARCH(";",'Special Help Table'!$A196)-2),AND(LEN('Special Help Table'!$A196)-LEN(SUBSTITUTE('Special Help Table'!$A196,"and ",""))=0,LEN('Special Help Table'!$A196)-LEN(SUBSTITUTE('Special Help Table'!$A196,";",""))=0),'Special Help Table'!$A196,AND(LEN('Special Help Table'!$A196)-LEN(SUBSTITUTE('Special Help Table'!$A196,",","")=1),LEN('Special Help Table'!$A196)-LEN(SUBSTITUTE('Special Help Table'!$A196," ","")=20),LEN('Special Help Table'!$A196)-LEN(SUBSTITUTE('Special Help Table'!$A196," and",""))=0,LEN('Special Help Table'!$A196)-LEN(SUBSTITUTE('Special Help Table'!$A196,",","",FIND(" ",'Special Help Table'!$A196)+1))=0),RIGHT('Special Help Table'!$A196,LEN('Special Help Table'!$A196)-FIND(", ",'Special Help Table'!$A196))&amp;" "&amp;LEFT('Special Help Table'!$A196,FIND(",",'Special Help Table'!$A196)-1),AND(LEN('Special Help Table'!$A196)-LEN(SUBSTITUTE('Special Help Table'!$A196,"editor",""))=6,LEN('Special Help Table'!$A196)-LEN(SUBSTITUTE('Special Help Table'!$A196,"(",""))=0,LEN('Special Help Table'!$A196)-LEN(SUBSTITUTE('Special Help Table'!$A196,"and",""))=3,LEN('Special Help Table'!$A196)-LEN(SUBSTITUTE('Special Help Table'!$A196,",",""))=1,LEN('Special Help Table'!$A196)-LEN(SUBSTITUTE('Special Help Table'!$A196," ",""))=3),'Special Help Table'!$A196)</f>
        <v xml:space="preserve"> Elizabeth Elliot</v>
      </c>
      <c r="C196" s="4" t="s">
        <v>426</v>
      </c>
      <c r="D196" s="2"/>
      <c r="E196" s="2" t="s">
        <v>16</v>
      </c>
      <c r="F196" s="2" t="s">
        <v>36</v>
      </c>
      <c r="G196" s="2"/>
      <c r="H196" s="2"/>
      <c r="I196" s="2"/>
      <c r="J196" s="2"/>
      <c r="K196" s="3">
        <v>40034</v>
      </c>
      <c r="L196" s="2"/>
      <c r="M196" s="2"/>
      <c r="N196" s="2" t="s">
        <v>18</v>
      </c>
    </row>
    <row r="197" spans="1:14" ht="15.75" customHeight="1" x14ac:dyDescent="0.35">
      <c r="A197" s="2" t="s">
        <v>425</v>
      </c>
      <c r="B197" s="2" t="str" cm="1">
        <f t="array" ref="B197">_xlfn.IFS(AND(LEN('Special Help Table'!$A197)-(LEN(SUBSTITUTE('Special Help Table'!$A197,";","")))=0,LEN('Special Help Table'!$A197)-LEN(SUBSTITUTE('Special Help Table'!$A197,",",""))=1,LEN('Special Help Table'!$A197)-LEN(SUBSTITUTE('Special Help Table'!$A197,"and ",""))=0),MID('Special Help Table'!$A197&amp;" "&amp;'Special Help Table'!$A197,SEARCH(", ",'Special Help Table'!$A197)+1,LEN('Special Help Table'!$A197)),AND(LEN('Special Help Table'!$A197)-(LEN(SUBSTITUTE('Special Help Table'!$A197,";","")))=1,LEN('Special Help Table'!$A197)-LEN(SUBSTITUTE('Special Help Table'!$A197,"and ",""))=0),MID('Special Help Table'!$A197,SEARCH(",",'Special Help Table'!$A197)+1,(SEARCH(";",'Special Help Table'!$A197)-1)-SEARCH(",",'Special Help Table'!$A197))&amp;" "&amp;LEFT('Special Help Table'!$A197,SEARCH(",",'Special Help Table'!$A197)-1)&amp;";"&amp;RIGHT('Special Help Table'!$A197,LEN('Special Help Table'!$A197)-SEARCH(",",'Special Help Table'!$A197,SEARCH(";",'Special Help Table'!$A197)))&amp;" "&amp;MID('Special Help Table'!$A197,SEARCH("; ",'Special Help Table'!$A197)+2,SEARCH(",",'Special Help Table'!$A197,SEARCH(";",'Special Help Table'!$A197))-SEARCH(";",'Special Help Table'!$A197)-2),AND(LEN('Special Help Table'!$A197)-LEN(SUBSTITUTE('Special Help Table'!$A197,"and ",""))=0,LEN('Special Help Table'!$A197)-LEN(SUBSTITUTE('Special Help Table'!$A197,";",""))=0),'Special Help Table'!$A197,AND(LEN('Special Help Table'!$A197)-LEN(SUBSTITUTE('Special Help Table'!$A197,",","")=1),LEN('Special Help Table'!$A197)-LEN(SUBSTITUTE('Special Help Table'!$A197," ","")=20),LEN('Special Help Table'!$A197)-LEN(SUBSTITUTE('Special Help Table'!$A197," and",""))=0,LEN('Special Help Table'!$A197)-LEN(SUBSTITUTE('Special Help Table'!$A197,",","",FIND(" ",'Special Help Table'!$A197)+1))=0),RIGHT('Special Help Table'!$A197,LEN('Special Help Table'!$A197)-FIND(", ",'Special Help Table'!$A197))&amp;" "&amp;LEFT('Special Help Table'!$A197,FIND(",",'Special Help Table'!$A197)-1),AND(LEN('Special Help Table'!$A197)-LEN(SUBSTITUTE('Special Help Table'!$A197,"editor",""))=6,LEN('Special Help Table'!$A197)-LEN(SUBSTITUTE('Special Help Table'!$A197,"(",""))=0,LEN('Special Help Table'!$A197)-LEN(SUBSTITUTE('Special Help Table'!$A197,"and",""))=3,LEN('Special Help Table'!$A197)-LEN(SUBSTITUTE('Special Help Table'!$A197,",",""))=1,LEN('Special Help Table'!$A197)-LEN(SUBSTITUTE('Special Help Table'!$A197," ",""))=3),'Special Help Table'!$A197)</f>
        <v xml:space="preserve"> Elizabeth Elliot</v>
      </c>
      <c r="C197" s="4" t="s">
        <v>427</v>
      </c>
      <c r="D197" s="2"/>
      <c r="E197" s="2" t="s">
        <v>16</v>
      </c>
      <c r="F197" s="2" t="s">
        <v>17</v>
      </c>
      <c r="G197" s="2"/>
      <c r="H197" s="2"/>
      <c r="I197" s="2"/>
      <c r="J197" s="2" t="s">
        <v>44</v>
      </c>
      <c r="K197" s="3">
        <v>40034</v>
      </c>
      <c r="L197" s="2"/>
      <c r="M197" s="2"/>
      <c r="N197" s="2" t="s">
        <v>18</v>
      </c>
    </row>
    <row r="198" spans="1:14" ht="15.75" customHeight="1" x14ac:dyDescent="0.35">
      <c r="A198" s="2" t="s">
        <v>425</v>
      </c>
      <c r="B198" s="2" t="str" cm="1">
        <f t="array" ref="B198">_xlfn.IFS(AND(LEN('Special Help Table'!$A198)-(LEN(SUBSTITUTE('Special Help Table'!$A198,";","")))=0,LEN('Special Help Table'!$A198)-LEN(SUBSTITUTE('Special Help Table'!$A198,",",""))=1,LEN('Special Help Table'!$A198)-LEN(SUBSTITUTE('Special Help Table'!$A198,"and ",""))=0),MID('Special Help Table'!$A198&amp;" "&amp;'Special Help Table'!$A198,SEARCH(", ",'Special Help Table'!$A198)+1,LEN('Special Help Table'!$A198)),AND(LEN('Special Help Table'!$A198)-(LEN(SUBSTITUTE('Special Help Table'!$A198,";","")))=1,LEN('Special Help Table'!$A198)-LEN(SUBSTITUTE('Special Help Table'!$A198,"and ",""))=0),MID('Special Help Table'!$A198,SEARCH(",",'Special Help Table'!$A198)+1,(SEARCH(";",'Special Help Table'!$A198)-1)-SEARCH(",",'Special Help Table'!$A198))&amp;" "&amp;LEFT('Special Help Table'!$A198,SEARCH(",",'Special Help Table'!$A198)-1)&amp;";"&amp;RIGHT('Special Help Table'!$A198,LEN('Special Help Table'!$A198)-SEARCH(",",'Special Help Table'!$A198,SEARCH(";",'Special Help Table'!$A198)))&amp;" "&amp;MID('Special Help Table'!$A198,SEARCH("; ",'Special Help Table'!$A198)+2,SEARCH(",",'Special Help Table'!$A198,SEARCH(";",'Special Help Table'!$A198))-SEARCH(";",'Special Help Table'!$A198)-2),AND(LEN('Special Help Table'!$A198)-LEN(SUBSTITUTE('Special Help Table'!$A198,"and ",""))=0,LEN('Special Help Table'!$A198)-LEN(SUBSTITUTE('Special Help Table'!$A198,";",""))=0),'Special Help Table'!$A198,AND(LEN('Special Help Table'!$A198)-LEN(SUBSTITUTE('Special Help Table'!$A198,",","")=1),LEN('Special Help Table'!$A198)-LEN(SUBSTITUTE('Special Help Table'!$A198," ","")=20),LEN('Special Help Table'!$A198)-LEN(SUBSTITUTE('Special Help Table'!$A198," and",""))=0,LEN('Special Help Table'!$A198)-LEN(SUBSTITUTE('Special Help Table'!$A198,",","",FIND(" ",'Special Help Table'!$A198)+1))=0),RIGHT('Special Help Table'!$A198,LEN('Special Help Table'!$A198)-FIND(", ",'Special Help Table'!$A198))&amp;" "&amp;LEFT('Special Help Table'!$A198,FIND(",",'Special Help Table'!$A198)-1),AND(LEN('Special Help Table'!$A198)-LEN(SUBSTITUTE('Special Help Table'!$A198,"editor",""))=6,LEN('Special Help Table'!$A198)-LEN(SUBSTITUTE('Special Help Table'!$A198,"(",""))=0,LEN('Special Help Table'!$A198)-LEN(SUBSTITUTE('Special Help Table'!$A198,"and",""))=3,LEN('Special Help Table'!$A198)-LEN(SUBSTITUTE('Special Help Table'!$A198,",",""))=1,LEN('Special Help Table'!$A198)-LEN(SUBSTITUTE('Special Help Table'!$A198," ",""))=3),'Special Help Table'!$A198)</f>
        <v xml:space="preserve"> Elizabeth Elliot</v>
      </c>
      <c r="C198" s="4" t="s">
        <v>428</v>
      </c>
      <c r="D198" s="2"/>
      <c r="E198" s="2" t="s">
        <v>16</v>
      </c>
      <c r="F198" s="2" t="s">
        <v>36</v>
      </c>
      <c r="G198" s="2"/>
      <c r="H198" s="2"/>
      <c r="I198" s="2"/>
      <c r="J198" s="2"/>
      <c r="K198" s="3">
        <v>40034</v>
      </c>
      <c r="L198" s="2"/>
      <c r="M198" s="2"/>
      <c r="N198" s="2" t="s">
        <v>18</v>
      </c>
    </row>
    <row r="199" spans="1:14" ht="15.75" customHeight="1" x14ac:dyDescent="0.35">
      <c r="A199" s="2" t="s">
        <v>425</v>
      </c>
      <c r="B199" s="2" t="str" cm="1">
        <f t="array" ref="B199">_xlfn.IFS(AND(LEN('Special Help Table'!$A199)-(LEN(SUBSTITUTE('Special Help Table'!$A199,";","")))=0,LEN('Special Help Table'!$A199)-LEN(SUBSTITUTE('Special Help Table'!$A199,",",""))=1,LEN('Special Help Table'!$A199)-LEN(SUBSTITUTE('Special Help Table'!$A199,"and ",""))=0),MID('Special Help Table'!$A199&amp;" "&amp;'Special Help Table'!$A199,SEARCH(", ",'Special Help Table'!$A199)+1,LEN('Special Help Table'!$A199)),AND(LEN('Special Help Table'!$A199)-(LEN(SUBSTITUTE('Special Help Table'!$A199,";","")))=1,LEN('Special Help Table'!$A199)-LEN(SUBSTITUTE('Special Help Table'!$A199,"and ",""))=0),MID('Special Help Table'!$A199,SEARCH(",",'Special Help Table'!$A199)+1,(SEARCH(";",'Special Help Table'!$A199)-1)-SEARCH(",",'Special Help Table'!$A199))&amp;" "&amp;LEFT('Special Help Table'!$A199,SEARCH(",",'Special Help Table'!$A199)-1)&amp;";"&amp;RIGHT('Special Help Table'!$A199,LEN('Special Help Table'!$A199)-SEARCH(",",'Special Help Table'!$A199,SEARCH(";",'Special Help Table'!$A199)))&amp;" "&amp;MID('Special Help Table'!$A199,SEARCH("; ",'Special Help Table'!$A199)+2,SEARCH(",",'Special Help Table'!$A199,SEARCH(";",'Special Help Table'!$A199))-SEARCH(";",'Special Help Table'!$A199)-2),AND(LEN('Special Help Table'!$A199)-LEN(SUBSTITUTE('Special Help Table'!$A199,"and ",""))=0,LEN('Special Help Table'!$A199)-LEN(SUBSTITUTE('Special Help Table'!$A199,";",""))=0),'Special Help Table'!$A199,AND(LEN('Special Help Table'!$A199)-LEN(SUBSTITUTE('Special Help Table'!$A199,",","")=1),LEN('Special Help Table'!$A199)-LEN(SUBSTITUTE('Special Help Table'!$A199," ","")=20),LEN('Special Help Table'!$A199)-LEN(SUBSTITUTE('Special Help Table'!$A199," and",""))=0,LEN('Special Help Table'!$A199)-LEN(SUBSTITUTE('Special Help Table'!$A199,",","",FIND(" ",'Special Help Table'!$A199)+1))=0),RIGHT('Special Help Table'!$A199,LEN('Special Help Table'!$A199)-FIND(", ",'Special Help Table'!$A199))&amp;" "&amp;LEFT('Special Help Table'!$A199,FIND(",",'Special Help Table'!$A199)-1),AND(LEN('Special Help Table'!$A199)-LEN(SUBSTITUTE('Special Help Table'!$A199,"editor",""))=6,LEN('Special Help Table'!$A199)-LEN(SUBSTITUTE('Special Help Table'!$A199,"(",""))=0,LEN('Special Help Table'!$A199)-LEN(SUBSTITUTE('Special Help Table'!$A199,"and",""))=3,LEN('Special Help Table'!$A199)-LEN(SUBSTITUTE('Special Help Table'!$A199,",",""))=1,LEN('Special Help Table'!$A199)-LEN(SUBSTITUTE('Special Help Table'!$A199," ",""))=3),'Special Help Table'!$A199)</f>
        <v xml:space="preserve"> Elizabeth Elliot</v>
      </c>
      <c r="C199" s="4" t="s">
        <v>429</v>
      </c>
      <c r="D199" s="2"/>
      <c r="E199" s="2" t="s">
        <v>16</v>
      </c>
      <c r="F199" s="2" t="s">
        <v>39</v>
      </c>
      <c r="G199" s="2"/>
      <c r="H199" s="2"/>
      <c r="I199" s="2"/>
      <c r="J199" s="2" t="s">
        <v>59</v>
      </c>
      <c r="K199" s="3">
        <v>40034</v>
      </c>
      <c r="L199" s="2"/>
      <c r="M199" s="2"/>
      <c r="N199" s="2" t="s">
        <v>18</v>
      </c>
    </row>
    <row r="200" spans="1:14" ht="15.75" customHeight="1" x14ac:dyDescent="0.35">
      <c r="A200" s="2" t="s">
        <v>425</v>
      </c>
      <c r="B200" s="2" t="str" cm="1">
        <f t="array" ref="B200">_xlfn.IFS(AND(LEN('Special Help Table'!$A200)-(LEN(SUBSTITUTE('Special Help Table'!$A200,";","")))=0,LEN('Special Help Table'!$A200)-LEN(SUBSTITUTE('Special Help Table'!$A200,",",""))=1,LEN('Special Help Table'!$A200)-LEN(SUBSTITUTE('Special Help Table'!$A200,"and ",""))=0),MID('Special Help Table'!$A200&amp;" "&amp;'Special Help Table'!$A200,SEARCH(", ",'Special Help Table'!$A200)+1,LEN('Special Help Table'!$A200)),AND(LEN('Special Help Table'!$A200)-(LEN(SUBSTITUTE('Special Help Table'!$A200,";","")))=1,LEN('Special Help Table'!$A200)-LEN(SUBSTITUTE('Special Help Table'!$A200,"and ",""))=0),MID('Special Help Table'!$A200,SEARCH(",",'Special Help Table'!$A200)+1,(SEARCH(";",'Special Help Table'!$A200)-1)-SEARCH(",",'Special Help Table'!$A200))&amp;" "&amp;LEFT('Special Help Table'!$A200,SEARCH(",",'Special Help Table'!$A200)-1)&amp;";"&amp;RIGHT('Special Help Table'!$A200,LEN('Special Help Table'!$A200)-SEARCH(",",'Special Help Table'!$A200,SEARCH(";",'Special Help Table'!$A200)))&amp;" "&amp;MID('Special Help Table'!$A200,SEARCH("; ",'Special Help Table'!$A200)+2,SEARCH(",",'Special Help Table'!$A200,SEARCH(";",'Special Help Table'!$A200))-SEARCH(";",'Special Help Table'!$A200)-2),AND(LEN('Special Help Table'!$A200)-LEN(SUBSTITUTE('Special Help Table'!$A200,"and ",""))=0,LEN('Special Help Table'!$A200)-LEN(SUBSTITUTE('Special Help Table'!$A200,";",""))=0),'Special Help Table'!$A200,AND(LEN('Special Help Table'!$A200)-LEN(SUBSTITUTE('Special Help Table'!$A200,",","")=1),LEN('Special Help Table'!$A200)-LEN(SUBSTITUTE('Special Help Table'!$A200," ","")=20),LEN('Special Help Table'!$A200)-LEN(SUBSTITUTE('Special Help Table'!$A200," and",""))=0,LEN('Special Help Table'!$A200)-LEN(SUBSTITUTE('Special Help Table'!$A200,",","",FIND(" ",'Special Help Table'!$A200)+1))=0),RIGHT('Special Help Table'!$A200,LEN('Special Help Table'!$A200)-FIND(", ",'Special Help Table'!$A200))&amp;" "&amp;LEFT('Special Help Table'!$A200,FIND(",",'Special Help Table'!$A200)-1),AND(LEN('Special Help Table'!$A200)-LEN(SUBSTITUTE('Special Help Table'!$A200,"editor",""))=6,LEN('Special Help Table'!$A200)-LEN(SUBSTITUTE('Special Help Table'!$A200,"(",""))=0,LEN('Special Help Table'!$A200)-LEN(SUBSTITUTE('Special Help Table'!$A200,"and",""))=3,LEN('Special Help Table'!$A200)-LEN(SUBSTITUTE('Special Help Table'!$A200,",",""))=1,LEN('Special Help Table'!$A200)-LEN(SUBSTITUTE('Special Help Table'!$A200," ",""))=3),'Special Help Table'!$A200)</f>
        <v xml:space="preserve"> Elizabeth Elliot</v>
      </c>
      <c r="C200" s="4" t="s">
        <v>430</v>
      </c>
      <c r="D200" s="2"/>
      <c r="E200" s="2" t="s">
        <v>16</v>
      </c>
      <c r="F200" s="2" t="s">
        <v>39</v>
      </c>
      <c r="G200" s="2"/>
      <c r="H200" s="2"/>
      <c r="I200" s="2"/>
      <c r="J200" s="2" t="s">
        <v>59</v>
      </c>
      <c r="K200" s="3">
        <v>40034</v>
      </c>
      <c r="L200" s="2"/>
      <c r="M200" s="2"/>
      <c r="N200" s="2" t="s">
        <v>18</v>
      </c>
    </row>
    <row r="201" spans="1:14" ht="15.75" customHeight="1" x14ac:dyDescent="0.35">
      <c r="A201" s="2" t="s">
        <v>431</v>
      </c>
      <c r="B201" s="2" t="str" cm="1">
        <f t="array" ref="B201">_xlfn.IFS(AND(LEN('Special Help Table'!$A201)-(LEN(SUBSTITUTE('Special Help Table'!$A201,";","")))=0,LEN('Special Help Table'!$A201)-LEN(SUBSTITUTE('Special Help Table'!$A201,",",""))=1,LEN('Special Help Table'!$A201)-LEN(SUBSTITUTE('Special Help Table'!$A201,"and ",""))=0),MID('Special Help Table'!$A201&amp;" "&amp;'Special Help Table'!$A201,SEARCH(", ",'Special Help Table'!$A201)+1,LEN('Special Help Table'!$A201)),AND(LEN('Special Help Table'!$A201)-(LEN(SUBSTITUTE('Special Help Table'!$A201,";","")))=1,LEN('Special Help Table'!$A201)-LEN(SUBSTITUTE('Special Help Table'!$A201,"and ",""))=0),MID('Special Help Table'!$A201,SEARCH(",",'Special Help Table'!$A201)+1,(SEARCH(";",'Special Help Table'!$A201)-1)-SEARCH(",",'Special Help Table'!$A201))&amp;" "&amp;LEFT('Special Help Table'!$A201,SEARCH(",",'Special Help Table'!$A201)-1)&amp;";"&amp;RIGHT('Special Help Table'!$A201,LEN('Special Help Table'!$A201)-SEARCH(",",'Special Help Table'!$A201,SEARCH(";",'Special Help Table'!$A201)))&amp;" "&amp;MID('Special Help Table'!$A201,SEARCH("; ",'Special Help Table'!$A201)+2,SEARCH(",",'Special Help Table'!$A201,SEARCH(";",'Special Help Table'!$A201))-SEARCH(";",'Special Help Table'!$A201)-2),AND(LEN('Special Help Table'!$A201)-LEN(SUBSTITUTE('Special Help Table'!$A201,"and ",""))=0,LEN('Special Help Table'!$A201)-LEN(SUBSTITUTE('Special Help Table'!$A201,";",""))=0),'Special Help Table'!$A201,AND(LEN('Special Help Table'!$A201)-LEN(SUBSTITUTE('Special Help Table'!$A201,",","")=1),LEN('Special Help Table'!$A201)-LEN(SUBSTITUTE('Special Help Table'!$A201," ","")=20),LEN('Special Help Table'!$A201)-LEN(SUBSTITUTE('Special Help Table'!$A201," and",""))=0,LEN('Special Help Table'!$A201)-LEN(SUBSTITUTE('Special Help Table'!$A201,",","",FIND(" ",'Special Help Table'!$A201)+1))=0),RIGHT('Special Help Table'!$A201,LEN('Special Help Table'!$A201)-FIND(", ",'Special Help Table'!$A201))&amp;" "&amp;LEFT('Special Help Table'!$A201,FIND(",",'Special Help Table'!$A201)-1),AND(LEN('Special Help Table'!$A201)-LEN(SUBSTITUTE('Special Help Table'!$A201,"editor",""))=6,LEN('Special Help Table'!$A201)-LEN(SUBSTITUTE('Special Help Table'!$A201,"(",""))=0,LEN('Special Help Table'!$A201)-LEN(SUBSTITUTE('Special Help Table'!$A201,"and",""))=3,LEN('Special Help Table'!$A201)-LEN(SUBSTITUTE('Special Help Table'!$A201,",",""))=1,LEN('Special Help Table'!$A201)-LEN(SUBSTITUTE('Special Help Table'!$A201," ",""))=3),'Special Help Table'!$A201)</f>
        <v xml:space="preserve"> Walter Elwell</v>
      </c>
      <c r="C201" s="4" t="s">
        <v>432</v>
      </c>
      <c r="D201" s="2"/>
      <c r="E201" s="2" t="s">
        <v>16</v>
      </c>
      <c r="F201" s="2" t="s">
        <v>92</v>
      </c>
      <c r="G201" s="2"/>
      <c r="H201" s="2"/>
      <c r="I201" s="2"/>
      <c r="J201" s="2"/>
      <c r="K201" s="3">
        <v>40034</v>
      </c>
      <c r="L201" s="2"/>
      <c r="M201" s="2"/>
      <c r="N201" s="2" t="s">
        <v>18</v>
      </c>
    </row>
    <row r="202" spans="1:14" ht="15.75" customHeight="1" x14ac:dyDescent="0.35">
      <c r="A202" s="2" t="s">
        <v>433</v>
      </c>
      <c r="B202" s="2" t="str" cm="1">
        <f t="array" ref="B202">_xlfn.IFS(AND(LEN('Special Help Table'!$A202)-(LEN(SUBSTITUTE('Special Help Table'!$A202,";","")))=0,LEN('Special Help Table'!$A202)-LEN(SUBSTITUTE('Special Help Table'!$A202,",",""))=1,LEN('Special Help Table'!$A202)-LEN(SUBSTITUTE('Special Help Table'!$A202,"and ",""))=0),MID('Special Help Table'!$A202&amp;" "&amp;'Special Help Table'!$A202,SEARCH(", ",'Special Help Table'!$A202)+1,LEN('Special Help Table'!$A202)),AND(LEN('Special Help Table'!$A202)-(LEN(SUBSTITUTE('Special Help Table'!$A202,";","")))=1,LEN('Special Help Table'!$A202)-LEN(SUBSTITUTE('Special Help Table'!$A202,"and ",""))=0),MID('Special Help Table'!$A202,SEARCH(",",'Special Help Table'!$A202)+1,(SEARCH(";",'Special Help Table'!$A202)-1)-SEARCH(",",'Special Help Table'!$A202))&amp;" "&amp;LEFT('Special Help Table'!$A202,SEARCH(",",'Special Help Table'!$A202)-1)&amp;";"&amp;RIGHT('Special Help Table'!$A202,LEN('Special Help Table'!$A202)-SEARCH(",",'Special Help Table'!$A202,SEARCH(";",'Special Help Table'!$A202)))&amp;" "&amp;MID('Special Help Table'!$A202,SEARCH("; ",'Special Help Table'!$A202)+2,SEARCH(",",'Special Help Table'!$A202,SEARCH(";",'Special Help Table'!$A202))-SEARCH(";",'Special Help Table'!$A202)-2),AND(LEN('Special Help Table'!$A202)-LEN(SUBSTITUTE('Special Help Table'!$A202,"and ",""))=0,LEN('Special Help Table'!$A202)-LEN(SUBSTITUTE('Special Help Table'!$A202,";",""))=0),'Special Help Table'!$A202,AND(LEN('Special Help Table'!$A202)-LEN(SUBSTITUTE('Special Help Table'!$A202,",","")=1),LEN('Special Help Table'!$A202)-LEN(SUBSTITUTE('Special Help Table'!$A202," ","")=20),LEN('Special Help Table'!$A202)-LEN(SUBSTITUTE('Special Help Table'!$A202," and",""))=0,LEN('Special Help Table'!$A202)-LEN(SUBSTITUTE('Special Help Table'!$A202,",","",FIND(" ",'Special Help Table'!$A202)+1))=0),RIGHT('Special Help Table'!$A202,LEN('Special Help Table'!$A202)-FIND(", ",'Special Help Table'!$A202))&amp;" "&amp;LEFT('Special Help Table'!$A202,FIND(",",'Special Help Table'!$A202)-1),AND(LEN('Special Help Table'!$A202)-LEN(SUBSTITUTE('Special Help Table'!$A202,"editor",""))=6,LEN('Special Help Table'!$A202)-LEN(SUBSTITUTE('Special Help Table'!$A202,"(",""))=0,LEN('Special Help Table'!$A202)-LEN(SUBSTITUTE('Special Help Table'!$A202,"and",""))=3,LEN('Special Help Table'!$A202)-LEN(SUBSTITUTE('Special Help Table'!$A202,",",""))=1,LEN('Special Help Table'!$A202)-LEN(SUBSTITUTE('Special Help Table'!$A202," ",""))=3),'Special Help Table'!$A202)</f>
        <v xml:space="preserve"> Michael R. Emlet</v>
      </c>
      <c r="C202" s="4" t="s">
        <v>434</v>
      </c>
      <c r="D202" s="2"/>
      <c r="E202" s="2" t="s">
        <v>16</v>
      </c>
      <c r="F202" s="2" t="s">
        <v>17</v>
      </c>
      <c r="G202" s="2"/>
      <c r="H202" s="2"/>
      <c r="I202" s="2"/>
      <c r="J202" s="2" t="s">
        <v>22</v>
      </c>
      <c r="K202" s="3">
        <v>43095</v>
      </c>
      <c r="L202" s="2"/>
      <c r="M202" s="2"/>
      <c r="N202" s="2" t="s">
        <v>18</v>
      </c>
    </row>
    <row r="203" spans="1:14" ht="15.75" customHeight="1" x14ac:dyDescent="0.35">
      <c r="A203" s="2" t="s">
        <v>433</v>
      </c>
      <c r="B203" s="2" t="str" cm="1">
        <f t="array" ref="B203">_xlfn.IFS(AND(LEN('Special Help Table'!$A203)-(LEN(SUBSTITUTE('Special Help Table'!$A203,";","")))=0,LEN('Special Help Table'!$A203)-LEN(SUBSTITUTE('Special Help Table'!$A203,",",""))=1,LEN('Special Help Table'!$A203)-LEN(SUBSTITUTE('Special Help Table'!$A203,"and ",""))=0),MID('Special Help Table'!$A203&amp;" "&amp;'Special Help Table'!$A203,SEARCH(", ",'Special Help Table'!$A203)+1,LEN('Special Help Table'!$A203)),AND(LEN('Special Help Table'!$A203)-(LEN(SUBSTITUTE('Special Help Table'!$A203,";","")))=1,LEN('Special Help Table'!$A203)-LEN(SUBSTITUTE('Special Help Table'!$A203,"and ",""))=0),MID('Special Help Table'!$A203,SEARCH(",",'Special Help Table'!$A203)+1,(SEARCH(";",'Special Help Table'!$A203)-1)-SEARCH(",",'Special Help Table'!$A203))&amp;" "&amp;LEFT('Special Help Table'!$A203,SEARCH(",",'Special Help Table'!$A203)-1)&amp;";"&amp;RIGHT('Special Help Table'!$A203,LEN('Special Help Table'!$A203)-SEARCH(",",'Special Help Table'!$A203,SEARCH(";",'Special Help Table'!$A203)))&amp;" "&amp;MID('Special Help Table'!$A203,SEARCH("; ",'Special Help Table'!$A203)+2,SEARCH(",",'Special Help Table'!$A203,SEARCH(";",'Special Help Table'!$A203))-SEARCH(";",'Special Help Table'!$A203)-2),AND(LEN('Special Help Table'!$A203)-LEN(SUBSTITUTE('Special Help Table'!$A203,"and ",""))=0,LEN('Special Help Table'!$A203)-LEN(SUBSTITUTE('Special Help Table'!$A203,";",""))=0),'Special Help Table'!$A203,AND(LEN('Special Help Table'!$A203)-LEN(SUBSTITUTE('Special Help Table'!$A203,",","")=1),LEN('Special Help Table'!$A203)-LEN(SUBSTITUTE('Special Help Table'!$A203," ","")=20),LEN('Special Help Table'!$A203)-LEN(SUBSTITUTE('Special Help Table'!$A203," and",""))=0,LEN('Special Help Table'!$A203)-LEN(SUBSTITUTE('Special Help Table'!$A203,",","",FIND(" ",'Special Help Table'!$A203)+1))=0),RIGHT('Special Help Table'!$A203,LEN('Special Help Table'!$A203)-FIND(", ",'Special Help Table'!$A203))&amp;" "&amp;LEFT('Special Help Table'!$A203,FIND(",",'Special Help Table'!$A203)-1),AND(LEN('Special Help Table'!$A203)-LEN(SUBSTITUTE('Special Help Table'!$A203,"editor",""))=6,LEN('Special Help Table'!$A203)-LEN(SUBSTITUTE('Special Help Table'!$A203,"(",""))=0,LEN('Special Help Table'!$A203)-LEN(SUBSTITUTE('Special Help Table'!$A203,"and",""))=3,LEN('Special Help Table'!$A203)-LEN(SUBSTITUTE('Special Help Table'!$A203,",",""))=1,LEN('Special Help Table'!$A203)-LEN(SUBSTITUTE('Special Help Table'!$A203," ",""))=3),'Special Help Table'!$A203)</f>
        <v xml:space="preserve"> Michael R. Emlet</v>
      </c>
      <c r="C203" s="4" t="s">
        <v>435</v>
      </c>
      <c r="D203" s="2"/>
      <c r="E203" s="2" t="s">
        <v>16</v>
      </c>
      <c r="F203" s="2" t="s">
        <v>17</v>
      </c>
      <c r="G203" s="2"/>
      <c r="H203" s="2"/>
      <c r="I203" s="2"/>
      <c r="J203" s="2" t="s">
        <v>436</v>
      </c>
      <c r="K203" s="3">
        <v>44240</v>
      </c>
      <c r="L203" s="2"/>
      <c r="M203" s="2"/>
      <c r="N203" s="2" t="s">
        <v>18</v>
      </c>
    </row>
    <row r="204" spans="1:14" ht="15.75" customHeight="1" x14ac:dyDescent="0.35">
      <c r="A204" s="2" t="s">
        <v>437</v>
      </c>
      <c r="B204" s="2" t="str" cm="1">
        <f t="array" ref="B204">_xlfn.IFS(AND(LEN('Special Help Table'!$A204)-(LEN(SUBSTITUTE('Special Help Table'!$A204,";","")))=0,LEN('Special Help Table'!$A204)-LEN(SUBSTITUTE('Special Help Table'!$A204,",",""))=1,LEN('Special Help Table'!$A204)-LEN(SUBSTITUTE('Special Help Table'!$A204,"and ",""))=0),MID('Special Help Table'!$A204&amp;" "&amp;'Special Help Table'!$A204,SEARCH(", ",'Special Help Table'!$A204)+1,LEN('Special Help Table'!$A204)),AND(LEN('Special Help Table'!$A204)-(LEN(SUBSTITUTE('Special Help Table'!$A204,";","")))=1,LEN('Special Help Table'!$A204)-LEN(SUBSTITUTE('Special Help Table'!$A204,"and ",""))=0),MID('Special Help Table'!$A204,SEARCH(",",'Special Help Table'!$A204)+1,(SEARCH(";",'Special Help Table'!$A204)-1)-SEARCH(",",'Special Help Table'!$A204))&amp;" "&amp;LEFT('Special Help Table'!$A204,SEARCH(",",'Special Help Table'!$A204)-1)&amp;";"&amp;RIGHT('Special Help Table'!$A204,LEN('Special Help Table'!$A204)-SEARCH(",",'Special Help Table'!$A204,SEARCH(";",'Special Help Table'!$A204)))&amp;" "&amp;MID('Special Help Table'!$A204,SEARCH("; ",'Special Help Table'!$A204)+2,SEARCH(",",'Special Help Table'!$A204,SEARCH(";",'Special Help Table'!$A204))-SEARCH(";",'Special Help Table'!$A204)-2),AND(LEN('Special Help Table'!$A204)-LEN(SUBSTITUTE('Special Help Table'!$A204,"and ",""))=0,LEN('Special Help Table'!$A204)-LEN(SUBSTITUTE('Special Help Table'!$A204,";",""))=0),'Special Help Table'!$A204,AND(LEN('Special Help Table'!$A204)-LEN(SUBSTITUTE('Special Help Table'!$A204,",","")=1),LEN('Special Help Table'!$A204)-LEN(SUBSTITUTE('Special Help Table'!$A204," ","")=20),LEN('Special Help Table'!$A204)-LEN(SUBSTITUTE('Special Help Table'!$A204," and",""))=0,LEN('Special Help Table'!$A204)-LEN(SUBSTITUTE('Special Help Table'!$A204,",","",FIND(" ",'Special Help Table'!$A204)+1))=0),RIGHT('Special Help Table'!$A204,LEN('Special Help Table'!$A204)-FIND(", ",'Special Help Table'!$A204))&amp;" "&amp;LEFT('Special Help Table'!$A204,FIND(",",'Special Help Table'!$A204)-1),AND(LEN('Special Help Table'!$A204)-LEN(SUBSTITUTE('Special Help Table'!$A204,"editor",""))=6,LEN('Special Help Table'!$A204)-LEN(SUBSTITUTE('Special Help Table'!$A204,"(",""))=0,LEN('Special Help Table'!$A204)-LEN(SUBSTITUTE('Special Help Table'!$A204,"and",""))=3,LEN('Special Help Table'!$A204)-LEN(SUBSTITUTE('Special Help Table'!$A204,",",""))=1,LEN('Special Help Table'!$A204)-LEN(SUBSTITUTE('Special Help Table'!$A204," ",""))=3),'Special Help Table'!$A204)</f>
        <v xml:space="preserve"> Theodore H. Epp</v>
      </c>
      <c r="C204" s="4" t="s">
        <v>438</v>
      </c>
      <c r="D204" s="2"/>
      <c r="E204" s="2" t="s">
        <v>16</v>
      </c>
      <c r="F204" s="2" t="s">
        <v>36</v>
      </c>
      <c r="G204" s="2"/>
      <c r="H204" s="2"/>
      <c r="I204" s="2"/>
      <c r="J204" s="2"/>
      <c r="K204" s="3">
        <v>43912</v>
      </c>
      <c r="L204" s="2"/>
      <c r="M204" s="2"/>
      <c r="N204" s="2" t="s">
        <v>18</v>
      </c>
    </row>
    <row r="205" spans="1:14" ht="15.75" customHeight="1" x14ac:dyDescent="0.35">
      <c r="A205" s="2" t="s">
        <v>439</v>
      </c>
      <c r="B205" s="2" t="str" cm="1">
        <f t="array" ref="B205">_xlfn.IFS(AND(LEN('Special Help Table'!$A205)-(LEN(SUBSTITUTE('Special Help Table'!$A205,";","")))=0,LEN('Special Help Table'!$A205)-LEN(SUBSTITUTE('Special Help Table'!$A205,",",""))=1,LEN('Special Help Table'!$A205)-LEN(SUBSTITUTE('Special Help Table'!$A205,"and ",""))=0),MID('Special Help Table'!$A205&amp;" "&amp;'Special Help Table'!$A205,SEARCH(", ",'Special Help Table'!$A205)+1,LEN('Special Help Table'!$A205)),AND(LEN('Special Help Table'!$A205)-(LEN(SUBSTITUTE('Special Help Table'!$A205,";","")))=1,LEN('Special Help Table'!$A205)-LEN(SUBSTITUTE('Special Help Table'!$A205,"and ",""))=0),MID('Special Help Table'!$A205,SEARCH(",",'Special Help Table'!$A205)+1,(SEARCH(";",'Special Help Table'!$A205)-1)-SEARCH(",",'Special Help Table'!$A205))&amp;" "&amp;LEFT('Special Help Table'!$A205,SEARCH(",",'Special Help Table'!$A205)-1)&amp;";"&amp;RIGHT('Special Help Table'!$A205,LEN('Special Help Table'!$A205)-SEARCH(",",'Special Help Table'!$A205,SEARCH(";",'Special Help Table'!$A205)))&amp;" "&amp;MID('Special Help Table'!$A205,SEARCH("; ",'Special Help Table'!$A205)+2,SEARCH(",",'Special Help Table'!$A205,SEARCH(";",'Special Help Table'!$A205))-SEARCH(";",'Special Help Table'!$A205)-2),AND(LEN('Special Help Table'!$A205)-LEN(SUBSTITUTE('Special Help Table'!$A205,"and ",""))=0,LEN('Special Help Table'!$A205)-LEN(SUBSTITUTE('Special Help Table'!$A205,";",""))=0),'Special Help Table'!$A205,AND(LEN('Special Help Table'!$A205)-LEN(SUBSTITUTE('Special Help Table'!$A205,",","")=1),LEN('Special Help Table'!$A205)-LEN(SUBSTITUTE('Special Help Table'!$A205," ","")=20),LEN('Special Help Table'!$A205)-LEN(SUBSTITUTE('Special Help Table'!$A205," and",""))=0,LEN('Special Help Table'!$A205)-LEN(SUBSTITUTE('Special Help Table'!$A205,",","",FIND(" ",'Special Help Table'!$A205)+1))=0),RIGHT('Special Help Table'!$A205,LEN('Special Help Table'!$A205)-FIND(", ",'Special Help Table'!$A205))&amp;" "&amp;LEFT('Special Help Table'!$A205,FIND(",",'Special Help Table'!$A205)-1),AND(LEN('Special Help Table'!$A205)-LEN(SUBSTITUTE('Special Help Table'!$A205,"editor",""))=6,LEN('Special Help Table'!$A205)-LEN(SUBSTITUTE('Special Help Table'!$A205,"(",""))=0,LEN('Special Help Table'!$A205)-LEN(SUBSTITUTE('Special Help Table'!$A205,"and",""))=3,LEN('Special Help Table'!$A205)-LEN(SUBSTITUTE('Special Help Table'!$A205,",",""))=1,LEN('Special Help Table'!$A205)-LEN(SUBSTITUTE('Special Help Table'!$A205," ",""))=3),'Special Help Table'!$A205)</f>
        <v>Erdmans</v>
      </c>
      <c r="C205" s="4" t="s">
        <v>440</v>
      </c>
      <c r="D205" s="2"/>
      <c r="E205" s="2" t="s">
        <v>16</v>
      </c>
      <c r="F205" s="2" t="s">
        <v>72</v>
      </c>
      <c r="G205" s="2"/>
      <c r="H205" s="2"/>
      <c r="I205" s="2"/>
      <c r="J205" s="2"/>
      <c r="K205" s="3">
        <v>40674</v>
      </c>
      <c r="L205" s="2"/>
      <c r="M205" s="2"/>
      <c r="N205" s="2" t="s">
        <v>18</v>
      </c>
    </row>
    <row r="206" spans="1:14" ht="15.75" customHeight="1" x14ac:dyDescent="0.35">
      <c r="A206" s="2" t="s">
        <v>441</v>
      </c>
      <c r="B206" s="2" t="str" cm="1">
        <f t="array" ref="B206">_xlfn.IFS(AND(LEN('Special Help Table'!$A206)-(LEN(SUBSTITUTE('Special Help Table'!$A206,";","")))=0,LEN('Special Help Table'!$A206)-LEN(SUBSTITUTE('Special Help Table'!$A206,",",""))=1,LEN('Special Help Table'!$A206)-LEN(SUBSTITUTE('Special Help Table'!$A206,"and ",""))=0),MID('Special Help Table'!$A206&amp;" "&amp;'Special Help Table'!$A206,SEARCH(", ",'Special Help Table'!$A206)+1,LEN('Special Help Table'!$A206)),AND(LEN('Special Help Table'!$A206)-(LEN(SUBSTITUTE('Special Help Table'!$A206,";","")))=1,LEN('Special Help Table'!$A206)-LEN(SUBSTITUTE('Special Help Table'!$A206,"and ",""))=0),MID('Special Help Table'!$A206,SEARCH(",",'Special Help Table'!$A206)+1,(SEARCH(";",'Special Help Table'!$A206)-1)-SEARCH(",",'Special Help Table'!$A206))&amp;" "&amp;LEFT('Special Help Table'!$A206,SEARCH(",",'Special Help Table'!$A206)-1)&amp;";"&amp;RIGHT('Special Help Table'!$A206,LEN('Special Help Table'!$A206)-SEARCH(",",'Special Help Table'!$A206,SEARCH(";",'Special Help Table'!$A206)))&amp;" "&amp;MID('Special Help Table'!$A206,SEARCH("; ",'Special Help Table'!$A206)+2,SEARCH(",",'Special Help Table'!$A206,SEARCH(";",'Special Help Table'!$A206))-SEARCH(";",'Special Help Table'!$A206)-2),AND(LEN('Special Help Table'!$A206)-LEN(SUBSTITUTE('Special Help Table'!$A206,"and ",""))=0,LEN('Special Help Table'!$A206)-LEN(SUBSTITUTE('Special Help Table'!$A206,";",""))=0),'Special Help Table'!$A206,AND(LEN('Special Help Table'!$A206)-LEN(SUBSTITUTE('Special Help Table'!$A206,",","")=1),LEN('Special Help Table'!$A206)-LEN(SUBSTITUTE('Special Help Table'!$A206," ","")=20),LEN('Special Help Table'!$A206)-LEN(SUBSTITUTE('Special Help Table'!$A206," and",""))=0,LEN('Special Help Table'!$A206)-LEN(SUBSTITUTE('Special Help Table'!$A206,",","",FIND(" ",'Special Help Table'!$A206)+1))=0),RIGHT('Special Help Table'!$A206,LEN('Special Help Table'!$A206)-FIND(", ",'Special Help Table'!$A206))&amp;" "&amp;LEFT('Special Help Table'!$A206,FIND(",",'Special Help Table'!$A206)-1),AND(LEN('Special Help Table'!$A206)-LEN(SUBSTITUTE('Special Help Table'!$A206,"editor",""))=6,LEN('Special Help Table'!$A206)-LEN(SUBSTITUTE('Special Help Table'!$A206,"(",""))=0,LEN('Special Help Table'!$A206)-LEN(SUBSTITUTE('Special Help Table'!$A206,"and",""))=3,LEN('Special Help Table'!$A206)-LEN(SUBSTITUTE('Special Help Table'!$A206,",",""))=1,LEN('Special Help Table'!$A206)-LEN(SUBSTITUTE('Special Help Table'!$A206," ",""))=3),'Special Help Table'!$A206)</f>
        <v xml:space="preserve"> Millard J. Erickson</v>
      </c>
      <c r="C206" s="4" t="s">
        <v>442</v>
      </c>
      <c r="D206" s="2"/>
      <c r="E206" s="2" t="s">
        <v>16</v>
      </c>
      <c r="F206" s="2" t="s">
        <v>113</v>
      </c>
      <c r="G206" s="2"/>
      <c r="H206" s="2"/>
      <c r="I206" s="2"/>
      <c r="J206" s="2"/>
      <c r="K206" s="3">
        <v>40034</v>
      </c>
      <c r="L206" s="2"/>
      <c r="M206" s="2"/>
      <c r="N206" s="2" t="s">
        <v>18</v>
      </c>
    </row>
    <row r="207" spans="1:14" ht="15.75" customHeight="1" x14ac:dyDescent="0.35">
      <c r="A207" s="2" t="s">
        <v>441</v>
      </c>
      <c r="B207" s="2" t="str" cm="1">
        <f t="array" ref="B207">_xlfn.IFS(AND(LEN('Special Help Table'!$A207)-(LEN(SUBSTITUTE('Special Help Table'!$A207,";","")))=0,LEN('Special Help Table'!$A207)-LEN(SUBSTITUTE('Special Help Table'!$A207,",",""))=1,LEN('Special Help Table'!$A207)-LEN(SUBSTITUTE('Special Help Table'!$A207,"and ",""))=0),MID('Special Help Table'!$A207&amp;" "&amp;'Special Help Table'!$A207,SEARCH(", ",'Special Help Table'!$A207)+1,LEN('Special Help Table'!$A207)),AND(LEN('Special Help Table'!$A207)-(LEN(SUBSTITUTE('Special Help Table'!$A207,";","")))=1,LEN('Special Help Table'!$A207)-LEN(SUBSTITUTE('Special Help Table'!$A207,"and ",""))=0),MID('Special Help Table'!$A207,SEARCH(",",'Special Help Table'!$A207)+1,(SEARCH(";",'Special Help Table'!$A207)-1)-SEARCH(",",'Special Help Table'!$A207))&amp;" "&amp;LEFT('Special Help Table'!$A207,SEARCH(",",'Special Help Table'!$A207)-1)&amp;";"&amp;RIGHT('Special Help Table'!$A207,LEN('Special Help Table'!$A207)-SEARCH(",",'Special Help Table'!$A207,SEARCH(";",'Special Help Table'!$A207)))&amp;" "&amp;MID('Special Help Table'!$A207,SEARCH("; ",'Special Help Table'!$A207)+2,SEARCH(",",'Special Help Table'!$A207,SEARCH(";",'Special Help Table'!$A207))-SEARCH(";",'Special Help Table'!$A207)-2),AND(LEN('Special Help Table'!$A207)-LEN(SUBSTITUTE('Special Help Table'!$A207,"and ",""))=0,LEN('Special Help Table'!$A207)-LEN(SUBSTITUTE('Special Help Table'!$A207,";",""))=0),'Special Help Table'!$A207,AND(LEN('Special Help Table'!$A207)-LEN(SUBSTITUTE('Special Help Table'!$A207,",","")=1),LEN('Special Help Table'!$A207)-LEN(SUBSTITUTE('Special Help Table'!$A207," ","")=20),LEN('Special Help Table'!$A207)-LEN(SUBSTITUTE('Special Help Table'!$A207," and",""))=0,LEN('Special Help Table'!$A207)-LEN(SUBSTITUTE('Special Help Table'!$A207,",","",FIND(" ",'Special Help Table'!$A207)+1))=0),RIGHT('Special Help Table'!$A207,LEN('Special Help Table'!$A207)-FIND(", ",'Special Help Table'!$A207))&amp;" "&amp;LEFT('Special Help Table'!$A207,FIND(",",'Special Help Table'!$A207)-1),AND(LEN('Special Help Table'!$A207)-LEN(SUBSTITUTE('Special Help Table'!$A207,"editor",""))=6,LEN('Special Help Table'!$A207)-LEN(SUBSTITUTE('Special Help Table'!$A207,"(",""))=0,LEN('Special Help Table'!$A207)-LEN(SUBSTITUTE('Special Help Table'!$A207,"and",""))=3,LEN('Special Help Table'!$A207)-LEN(SUBSTITUTE('Special Help Table'!$A207,",",""))=1,LEN('Special Help Table'!$A207)-LEN(SUBSTITUTE('Special Help Table'!$A207," ",""))=3),'Special Help Table'!$A207)</f>
        <v xml:space="preserve"> Millard J. Erickson</v>
      </c>
      <c r="C207" s="4" t="s">
        <v>443</v>
      </c>
      <c r="D207" s="2"/>
      <c r="E207" s="2" t="s">
        <v>16</v>
      </c>
      <c r="F207" s="2" t="s">
        <v>92</v>
      </c>
      <c r="G207" s="2"/>
      <c r="H207" s="2"/>
      <c r="I207" s="2"/>
      <c r="J207" s="2"/>
      <c r="K207" s="3">
        <v>40034</v>
      </c>
      <c r="L207" s="2"/>
      <c r="M207" s="2"/>
      <c r="N207" s="2" t="s">
        <v>18</v>
      </c>
    </row>
    <row r="208" spans="1:14" ht="15.75" customHeight="1" x14ac:dyDescent="0.35">
      <c r="A208" s="2" t="s">
        <v>444</v>
      </c>
      <c r="B208" s="2" t="str" cm="1">
        <f t="array" ref="B208">_xlfn.IFS(AND(LEN('Special Help Table'!$A208)-(LEN(SUBSTITUTE('Special Help Table'!$A208,";","")))=0,LEN('Special Help Table'!$A208)-LEN(SUBSTITUTE('Special Help Table'!$A208,",",""))=1,LEN('Special Help Table'!$A208)-LEN(SUBSTITUTE('Special Help Table'!$A208,"and ",""))=0),MID('Special Help Table'!$A208&amp;" "&amp;'Special Help Table'!$A208,SEARCH(", ",'Special Help Table'!$A208)+1,LEN('Special Help Table'!$A208)),AND(LEN('Special Help Table'!$A208)-(LEN(SUBSTITUTE('Special Help Table'!$A208,";","")))=1,LEN('Special Help Table'!$A208)-LEN(SUBSTITUTE('Special Help Table'!$A208,"and ",""))=0),MID('Special Help Table'!$A208,SEARCH(",",'Special Help Table'!$A208)+1,(SEARCH(";",'Special Help Table'!$A208)-1)-SEARCH(",",'Special Help Table'!$A208))&amp;" "&amp;LEFT('Special Help Table'!$A208,SEARCH(",",'Special Help Table'!$A208)-1)&amp;";"&amp;RIGHT('Special Help Table'!$A208,LEN('Special Help Table'!$A208)-SEARCH(",",'Special Help Table'!$A208,SEARCH(";",'Special Help Table'!$A208)))&amp;" "&amp;MID('Special Help Table'!$A208,SEARCH("; ",'Special Help Table'!$A208)+2,SEARCH(",",'Special Help Table'!$A208,SEARCH(";",'Special Help Table'!$A208))-SEARCH(";",'Special Help Table'!$A208)-2),AND(LEN('Special Help Table'!$A208)-LEN(SUBSTITUTE('Special Help Table'!$A208,"and ",""))=0,LEN('Special Help Table'!$A208)-LEN(SUBSTITUTE('Special Help Table'!$A208,";",""))=0),'Special Help Table'!$A208,AND(LEN('Special Help Table'!$A208)-LEN(SUBSTITUTE('Special Help Table'!$A208,",","")=1),LEN('Special Help Table'!$A208)-LEN(SUBSTITUTE('Special Help Table'!$A208," ","")=20),LEN('Special Help Table'!$A208)-LEN(SUBSTITUTE('Special Help Table'!$A208," and",""))=0,LEN('Special Help Table'!$A208)-LEN(SUBSTITUTE('Special Help Table'!$A208,",","",FIND(" ",'Special Help Table'!$A208)+1))=0),RIGHT('Special Help Table'!$A208,LEN('Special Help Table'!$A208)-FIND(", ",'Special Help Table'!$A208))&amp;" "&amp;LEFT('Special Help Table'!$A208,FIND(",",'Special Help Table'!$A208)-1),AND(LEN('Special Help Table'!$A208)-LEN(SUBSTITUTE('Special Help Table'!$A208,"editor",""))=6,LEN('Special Help Table'!$A208)-LEN(SUBSTITUTE('Special Help Table'!$A208,"(",""))=0,LEN('Special Help Table'!$A208)-LEN(SUBSTITUTE('Special Help Table'!$A208,"and",""))=3,LEN('Special Help Table'!$A208)-LEN(SUBSTITUTE('Special Help Table'!$A208,",",""))=1,LEN('Special Help Table'!$A208)-LEN(SUBSTITUTE('Special Help Table'!$A208," ",""))=3),'Special Help Table'!$A208)</f>
        <v xml:space="preserve"> Christine Farenhorst</v>
      </c>
      <c r="C208" s="4" t="s">
        <v>445</v>
      </c>
      <c r="D208" s="2"/>
      <c r="E208" s="2" t="s">
        <v>16</v>
      </c>
      <c r="F208" s="2" t="s">
        <v>72</v>
      </c>
      <c r="G208" s="2"/>
      <c r="H208" s="2"/>
      <c r="I208" s="2"/>
      <c r="J208" s="2"/>
      <c r="K208" s="3">
        <v>41468</v>
      </c>
      <c r="L208" s="2"/>
      <c r="M208" s="2"/>
      <c r="N208" s="2" t="s">
        <v>18</v>
      </c>
    </row>
    <row r="209" spans="1:14" ht="15.75" customHeight="1" x14ac:dyDescent="0.35">
      <c r="A209" s="2" t="s">
        <v>446</v>
      </c>
      <c r="B209" s="2" t="str" cm="1">
        <f t="array" ref="B209">_xlfn.IFS(AND(LEN('Special Help Table'!$A209)-(LEN(SUBSTITUTE('Special Help Table'!$A209,";","")))=0,LEN('Special Help Table'!$A209)-LEN(SUBSTITUTE('Special Help Table'!$A209,",",""))=1,LEN('Special Help Table'!$A209)-LEN(SUBSTITUTE('Special Help Table'!$A209,"and ",""))=0),MID('Special Help Table'!$A209&amp;" "&amp;'Special Help Table'!$A209,SEARCH(", ",'Special Help Table'!$A209)+1,LEN('Special Help Table'!$A209)),AND(LEN('Special Help Table'!$A209)-(LEN(SUBSTITUTE('Special Help Table'!$A209,";","")))=1,LEN('Special Help Table'!$A209)-LEN(SUBSTITUTE('Special Help Table'!$A209,"and ",""))=0),MID('Special Help Table'!$A209,SEARCH(",",'Special Help Table'!$A209)+1,(SEARCH(";",'Special Help Table'!$A209)-1)-SEARCH(",",'Special Help Table'!$A209))&amp;" "&amp;LEFT('Special Help Table'!$A209,SEARCH(",",'Special Help Table'!$A209)-1)&amp;";"&amp;RIGHT('Special Help Table'!$A209,LEN('Special Help Table'!$A209)-SEARCH(",",'Special Help Table'!$A209,SEARCH(";",'Special Help Table'!$A209)))&amp;" "&amp;MID('Special Help Table'!$A209,SEARCH("; ",'Special Help Table'!$A209)+2,SEARCH(",",'Special Help Table'!$A209,SEARCH(";",'Special Help Table'!$A209))-SEARCH(";",'Special Help Table'!$A209)-2),AND(LEN('Special Help Table'!$A209)-LEN(SUBSTITUTE('Special Help Table'!$A209,"and ",""))=0,LEN('Special Help Table'!$A209)-LEN(SUBSTITUTE('Special Help Table'!$A209,";",""))=0),'Special Help Table'!$A209,AND(LEN('Special Help Table'!$A209)-LEN(SUBSTITUTE('Special Help Table'!$A209,",","")=1),LEN('Special Help Table'!$A209)-LEN(SUBSTITUTE('Special Help Table'!$A209," ","")=20),LEN('Special Help Table'!$A209)-LEN(SUBSTITUTE('Special Help Table'!$A209," and",""))=0,LEN('Special Help Table'!$A209)-LEN(SUBSTITUTE('Special Help Table'!$A209,",","",FIND(" ",'Special Help Table'!$A209)+1))=0),RIGHT('Special Help Table'!$A209,LEN('Special Help Table'!$A209)-FIND(", ",'Special Help Table'!$A209))&amp;" "&amp;LEFT('Special Help Table'!$A209,FIND(",",'Special Help Table'!$A209)-1),AND(LEN('Special Help Table'!$A209)-LEN(SUBSTITUTE('Special Help Table'!$A209,"editor",""))=6,LEN('Special Help Table'!$A209)-LEN(SUBSTITUTE('Special Help Table'!$A209,"(",""))=0,LEN('Special Help Table'!$A209)-LEN(SUBSTITUTE('Special Help Table'!$A209,"and",""))=3,LEN('Special Help Table'!$A209)-LEN(SUBSTITUTE('Special Help Table'!$A209,",",""))=1,LEN('Special Help Table'!$A209)-LEN(SUBSTITUTE('Special Help Table'!$A209," ",""))=3),'Special Help Table'!$A209)</f>
        <v xml:space="preserve"> William P. Farley</v>
      </c>
      <c r="C209" s="4" t="s">
        <v>447</v>
      </c>
      <c r="D209" s="2"/>
      <c r="E209" s="2" t="s">
        <v>16</v>
      </c>
      <c r="F209" s="2" t="s">
        <v>17</v>
      </c>
      <c r="G209" s="2"/>
      <c r="H209" s="2"/>
      <c r="I209" s="2" t="s">
        <v>100</v>
      </c>
      <c r="J209" s="2" t="s">
        <v>100</v>
      </c>
      <c r="K209" s="3">
        <v>40705</v>
      </c>
      <c r="L209" s="2"/>
      <c r="M209" s="2"/>
      <c r="N209" s="2" t="s">
        <v>18</v>
      </c>
    </row>
    <row r="210" spans="1:14" ht="15.75" customHeight="1" x14ac:dyDescent="0.35">
      <c r="A210" s="2" t="s">
        <v>446</v>
      </c>
      <c r="B210" s="2" t="str" cm="1">
        <f t="array" ref="B210">_xlfn.IFS(AND(LEN('Special Help Table'!$A210)-(LEN(SUBSTITUTE('Special Help Table'!$A210,";","")))=0,LEN('Special Help Table'!$A210)-LEN(SUBSTITUTE('Special Help Table'!$A210,",",""))=1,LEN('Special Help Table'!$A210)-LEN(SUBSTITUTE('Special Help Table'!$A210,"and ",""))=0),MID('Special Help Table'!$A210&amp;" "&amp;'Special Help Table'!$A210,SEARCH(", ",'Special Help Table'!$A210)+1,LEN('Special Help Table'!$A210)),AND(LEN('Special Help Table'!$A210)-(LEN(SUBSTITUTE('Special Help Table'!$A210,";","")))=1,LEN('Special Help Table'!$A210)-LEN(SUBSTITUTE('Special Help Table'!$A210,"and ",""))=0),MID('Special Help Table'!$A210,SEARCH(",",'Special Help Table'!$A210)+1,(SEARCH(";",'Special Help Table'!$A210)-1)-SEARCH(",",'Special Help Table'!$A210))&amp;" "&amp;LEFT('Special Help Table'!$A210,SEARCH(",",'Special Help Table'!$A210)-1)&amp;";"&amp;RIGHT('Special Help Table'!$A210,LEN('Special Help Table'!$A210)-SEARCH(",",'Special Help Table'!$A210,SEARCH(";",'Special Help Table'!$A210)))&amp;" "&amp;MID('Special Help Table'!$A210,SEARCH("; ",'Special Help Table'!$A210)+2,SEARCH(",",'Special Help Table'!$A210,SEARCH(";",'Special Help Table'!$A210))-SEARCH(";",'Special Help Table'!$A210)-2),AND(LEN('Special Help Table'!$A210)-LEN(SUBSTITUTE('Special Help Table'!$A210,"and ",""))=0,LEN('Special Help Table'!$A210)-LEN(SUBSTITUTE('Special Help Table'!$A210,";",""))=0),'Special Help Table'!$A210,AND(LEN('Special Help Table'!$A210)-LEN(SUBSTITUTE('Special Help Table'!$A210,",","")=1),LEN('Special Help Table'!$A210)-LEN(SUBSTITUTE('Special Help Table'!$A210," ","")=20),LEN('Special Help Table'!$A210)-LEN(SUBSTITUTE('Special Help Table'!$A210," and",""))=0,LEN('Special Help Table'!$A210)-LEN(SUBSTITUTE('Special Help Table'!$A210,",","",FIND(" ",'Special Help Table'!$A210)+1))=0),RIGHT('Special Help Table'!$A210,LEN('Special Help Table'!$A210)-FIND(", ",'Special Help Table'!$A210))&amp;" "&amp;LEFT('Special Help Table'!$A210,FIND(",",'Special Help Table'!$A210)-1),AND(LEN('Special Help Table'!$A210)-LEN(SUBSTITUTE('Special Help Table'!$A210,"editor",""))=6,LEN('Special Help Table'!$A210)-LEN(SUBSTITUTE('Special Help Table'!$A210,"(",""))=0,LEN('Special Help Table'!$A210)-LEN(SUBSTITUTE('Special Help Table'!$A210,"and",""))=3,LEN('Special Help Table'!$A210)-LEN(SUBSTITUTE('Special Help Table'!$A210,",",""))=1,LEN('Special Help Table'!$A210)-LEN(SUBSTITUTE('Special Help Table'!$A210," ",""))=3),'Special Help Table'!$A210)</f>
        <v xml:space="preserve"> William P. Farley</v>
      </c>
      <c r="C210" s="4" t="s">
        <v>448</v>
      </c>
      <c r="D210" s="2"/>
      <c r="E210" s="2" t="s">
        <v>16</v>
      </c>
      <c r="F210" s="2" t="s">
        <v>28</v>
      </c>
      <c r="G210" s="2"/>
      <c r="H210" s="2"/>
      <c r="I210" s="2"/>
      <c r="J210" s="2" t="s">
        <v>449</v>
      </c>
      <c r="K210" s="3">
        <v>42139</v>
      </c>
      <c r="L210" s="2"/>
      <c r="M210" s="2"/>
      <c r="N210" s="2" t="s">
        <v>18</v>
      </c>
    </row>
    <row r="211" spans="1:14" ht="15.75" customHeight="1" x14ac:dyDescent="0.35">
      <c r="A211" s="2" t="s">
        <v>450</v>
      </c>
      <c r="B211" s="2" t="str" cm="1">
        <f t="array" ref="B211">_xlfn.IFS(AND(LEN('Special Help Table'!$A211)-(LEN(SUBSTITUTE('Special Help Table'!$A211,";","")))=0,LEN('Special Help Table'!$A211)-LEN(SUBSTITUTE('Special Help Table'!$A211,",",""))=1,LEN('Special Help Table'!$A211)-LEN(SUBSTITUTE('Special Help Table'!$A211,"and ",""))=0),MID('Special Help Table'!$A211&amp;" "&amp;'Special Help Table'!$A211,SEARCH(", ",'Special Help Table'!$A211)+1,LEN('Special Help Table'!$A211)),AND(LEN('Special Help Table'!$A211)-(LEN(SUBSTITUTE('Special Help Table'!$A211,";","")))=1,LEN('Special Help Table'!$A211)-LEN(SUBSTITUTE('Special Help Table'!$A211,"and ",""))=0),MID('Special Help Table'!$A211,SEARCH(",",'Special Help Table'!$A211)+1,(SEARCH(";",'Special Help Table'!$A211)-1)-SEARCH(",",'Special Help Table'!$A211))&amp;" "&amp;LEFT('Special Help Table'!$A211,SEARCH(",",'Special Help Table'!$A211)-1)&amp;";"&amp;RIGHT('Special Help Table'!$A211,LEN('Special Help Table'!$A211)-SEARCH(",",'Special Help Table'!$A211,SEARCH(";",'Special Help Table'!$A211)))&amp;" "&amp;MID('Special Help Table'!$A211,SEARCH("; ",'Special Help Table'!$A211)+2,SEARCH(",",'Special Help Table'!$A211,SEARCH(";",'Special Help Table'!$A211))-SEARCH(";",'Special Help Table'!$A211)-2),AND(LEN('Special Help Table'!$A211)-LEN(SUBSTITUTE('Special Help Table'!$A211,"and ",""))=0,LEN('Special Help Table'!$A211)-LEN(SUBSTITUTE('Special Help Table'!$A211,";",""))=0),'Special Help Table'!$A211,AND(LEN('Special Help Table'!$A211)-LEN(SUBSTITUTE('Special Help Table'!$A211,",","")=1),LEN('Special Help Table'!$A211)-LEN(SUBSTITUTE('Special Help Table'!$A211," ","")=20),LEN('Special Help Table'!$A211)-LEN(SUBSTITUTE('Special Help Table'!$A211," and",""))=0,LEN('Special Help Table'!$A211)-LEN(SUBSTITUTE('Special Help Table'!$A211,",","",FIND(" ",'Special Help Table'!$A211)+1))=0),RIGHT('Special Help Table'!$A211,LEN('Special Help Table'!$A211)-FIND(", ",'Special Help Table'!$A211))&amp;" "&amp;LEFT('Special Help Table'!$A211,FIND(",",'Special Help Table'!$A211)-1),AND(LEN('Special Help Table'!$A211)-LEN(SUBSTITUTE('Special Help Table'!$A211,"editor",""))=6,LEN('Special Help Table'!$A211)-LEN(SUBSTITUTE('Special Help Table'!$A211,"(",""))=0,LEN('Special Help Table'!$A211)-LEN(SUBSTITUTE('Special Help Table'!$A211,"and",""))=3,LEN('Special Help Table'!$A211)-LEN(SUBSTITUTE('Special Help Table'!$A211,",",""))=1,LEN('Special Help Table'!$A211)-LEN(SUBSTITUTE('Special Help Table'!$A211," ",""))=3),'Special Help Table'!$A211)</f>
        <v xml:space="preserve"> Catherine Farnes</v>
      </c>
      <c r="C211" s="4" t="s">
        <v>451</v>
      </c>
      <c r="D211" s="2"/>
      <c r="E211" s="2" t="s">
        <v>16</v>
      </c>
      <c r="F211" s="2" t="s">
        <v>72</v>
      </c>
      <c r="G211" s="2"/>
      <c r="H211" s="2"/>
      <c r="I211" s="2"/>
      <c r="J211" s="2"/>
      <c r="K211" s="3">
        <v>41287</v>
      </c>
      <c r="L211" s="2"/>
      <c r="M211" s="2"/>
      <c r="N211" s="2" t="s">
        <v>18</v>
      </c>
    </row>
    <row r="212" spans="1:14" ht="15.75" customHeight="1" x14ac:dyDescent="0.35">
      <c r="A212" s="2" t="s">
        <v>450</v>
      </c>
      <c r="B212" s="2" t="str" cm="1">
        <f t="array" ref="B212">_xlfn.IFS(AND(LEN('Special Help Table'!$A212)-(LEN(SUBSTITUTE('Special Help Table'!$A212,";","")))=0,LEN('Special Help Table'!$A212)-LEN(SUBSTITUTE('Special Help Table'!$A212,",",""))=1,LEN('Special Help Table'!$A212)-LEN(SUBSTITUTE('Special Help Table'!$A212,"and ",""))=0),MID('Special Help Table'!$A212&amp;" "&amp;'Special Help Table'!$A212,SEARCH(", ",'Special Help Table'!$A212)+1,LEN('Special Help Table'!$A212)),AND(LEN('Special Help Table'!$A212)-(LEN(SUBSTITUTE('Special Help Table'!$A212,";","")))=1,LEN('Special Help Table'!$A212)-LEN(SUBSTITUTE('Special Help Table'!$A212,"and ",""))=0),MID('Special Help Table'!$A212,SEARCH(",",'Special Help Table'!$A212)+1,(SEARCH(";",'Special Help Table'!$A212)-1)-SEARCH(",",'Special Help Table'!$A212))&amp;" "&amp;LEFT('Special Help Table'!$A212,SEARCH(",",'Special Help Table'!$A212)-1)&amp;";"&amp;RIGHT('Special Help Table'!$A212,LEN('Special Help Table'!$A212)-SEARCH(",",'Special Help Table'!$A212,SEARCH(";",'Special Help Table'!$A212)))&amp;" "&amp;MID('Special Help Table'!$A212,SEARCH("; ",'Special Help Table'!$A212)+2,SEARCH(",",'Special Help Table'!$A212,SEARCH(";",'Special Help Table'!$A212))-SEARCH(";",'Special Help Table'!$A212)-2),AND(LEN('Special Help Table'!$A212)-LEN(SUBSTITUTE('Special Help Table'!$A212,"and ",""))=0,LEN('Special Help Table'!$A212)-LEN(SUBSTITUTE('Special Help Table'!$A212,";",""))=0),'Special Help Table'!$A212,AND(LEN('Special Help Table'!$A212)-LEN(SUBSTITUTE('Special Help Table'!$A212,",","")=1),LEN('Special Help Table'!$A212)-LEN(SUBSTITUTE('Special Help Table'!$A212," ","")=20),LEN('Special Help Table'!$A212)-LEN(SUBSTITUTE('Special Help Table'!$A212," and",""))=0,LEN('Special Help Table'!$A212)-LEN(SUBSTITUTE('Special Help Table'!$A212,",","",FIND(" ",'Special Help Table'!$A212)+1))=0),RIGHT('Special Help Table'!$A212,LEN('Special Help Table'!$A212)-FIND(", ",'Special Help Table'!$A212))&amp;" "&amp;LEFT('Special Help Table'!$A212,FIND(",",'Special Help Table'!$A212)-1),AND(LEN('Special Help Table'!$A212)-LEN(SUBSTITUTE('Special Help Table'!$A212,"editor",""))=6,LEN('Special Help Table'!$A212)-LEN(SUBSTITUTE('Special Help Table'!$A212,"(",""))=0,LEN('Special Help Table'!$A212)-LEN(SUBSTITUTE('Special Help Table'!$A212,"and",""))=3,LEN('Special Help Table'!$A212)-LEN(SUBSTITUTE('Special Help Table'!$A212,",",""))=1,LEN('Special Help Table'!$A212)-LEN(SUBSTITUTE('Special Help Table'!$A212," ",""))=3),'Special Help Table'!$A212)</f>
        <v xml:space="preserve"> Catherine Farnes</v>
      </c>
      <c r="C212" s="4" t="s">
        <v>452</v>
      </c>
      <c r="D212" s="2"/>
      <c r="E212" s="2" t="s">
        <v>16</v>
      </c>
      <c r="F212" s="2" t="s">
        <v>72</v>
      </c>
      <c r="G212" s="2"/>
      <c r="H212" s="2"/>
      <c r="I212" s="2"/>
      <c r="J212" s="2"/>
      <c r="K212" s="3">
        <v>41164</v>
      </c>
      <c r="L212" s="2"/>
      <c r="M212" s="2"/>
      <c r="N212" s="2" t="s">
        <v>18</v>
      </c>
    </row>
    <row r="213" spans="1:14" ht="15.75" customHeight="1" x14ac:dyDescent="0.35">
      <c r="A213" s="2" t="s">
        <v>453</v>
      </c>
      <c r="B213" s="2" t="str" cm="1">
        <f t="array" ref="B213">_xlfn.IFS(AND(LEN('Special Help Table'!$A213)-(LEN(SUBSTITUTE('Special Help Table'!$A213,";","")))=0,LEN('Special Help Table'!$A213)-LEN(SUBSTITUTE('Special Help Table'!$A213,",",""))=1,LEN('Special Help Table'!$A213)-LEN(SUBSTITUTE('Special Help Table'!$A213,"and ",""))=0),MID('Special Help Table'!$A213&amp;" "&amp;'Special Help Table'!$A213,SEARCH(", ",'Special Help Table'!$A213)+1,LEN('Special Help Table'!$A213)),AND(LEN('Special Help Table'!$A213)-(LEN(SUBSTITUTE('Special Help Table'!$A213,";","")))=1,LEN('Special Help Table'!$A213)-LEN(SUBSTITUTE('Special Help Table'!$A213,"and ",""))=0),MID('Special Help Table'!$A213,SEARCH(",",'Special Help Table'!$A213)+1,(SEARCH(";",'Special Help Table'!$A213)-1)-SEARCH(",",'Special Help Table'!$A213))&amp;" "&amp;LEFT('Special Help Table'!$A213,SEARCH(",",'Special Help Table'!$A213)-1)&amp;";"&amp;RIGHT('Special Help Table'!$A213,LEN('Special Help Table'!$A213)-SEARCH(",",'Special Help Table'!$A213,SEARCH(";",'Special Help Table'!$A213)))&amp;" "&amp;MID('Special Help Table'!$A213,SEARCH("; ",'Special Help Table'!$A213)+2,SEARCH(",",'Special Help Table'!$A213,SEARCH(";",'Special Help Table'!$A213))-SEARCH(";",'Special Help Table'!$A213)-2),AND(LEN('Special Help Table'!$A213)-LEN(SUBSTITUTE('Special Help Table'!$A213,"and ",""))=0,LEN('Special Help Table'!$A213)-LEN(SUBSTITUTE('Special Help Table'!$A213,";",""))=0),'Special Help Table'!$A213,AND(LEN('Special Help Table'!$A213)-LEN(SUBSTITUTE('Special Help Table'!$A213,",","")=1),LEN('Special Help Table'!$A213)-LEN(SUBSTITUTE('Special Help Table'!$A213," ","")=20),LEN('Special Help Table'!$A213)-LEN(SUBSTITUTE('Special Help Table'!$A213," and",""))=0,LEN('Special Help Table'!$A213)-LEN(SUBSTITUTE('Special Help Table'!$A213,",","",FIND(" ",'Special Help Table'!$A213)+1))=0),RIGHT('Special Help Table'!$A213,LEN('Special Help Table'!$A213)-FIND(", ",'Special Help Table'!$A213))&amp;" "&amp;LEFT('Special Help Table'!$A213,FIND(",",'Special Help Table'!$A213)-1),AND(LEN('Special Help Table'!$A213)-LEN(SUBSTITUTE('Special Help Table'!$A213,"editor",""))=6,LEN('Special Help Table'!$A213)-LEN(SUBSTITUTE('Special Help Table'!$A213,"(",""))=0,LEN('Special Help Table'!$A213)-LEN(SUBSTITUTE('Special Help Table'!$A213,"and",""))=3,LEN('Special Help Table'!$A213)-LEN(SUBSTITUTE('Special Help Table'!$A213,",",""))=1,LEN('Special Help Table'!$A213)-LEN(SUBSTITUTE('Special Help Table'!$A213," ",""))=3),'Special Help Table'!$A213)</f>
        <v xml:space="preserve"> Gordon Fee</v>
      </c>
      <c r="C213" s="4" t="s">
        <v>454</v>
      </c>
      <c r="D213" s="2" t="s">
        <v>455</v>
      </c>
      <c r="E213" s="2" t="s">
        <v>16</v>
      </c>
      <c r="F213" s="2" t="s">
        <v>76</v>
      </c>
      <c r="G213" s="2"/>
      <c r="H213" s="2"/>
      <c r="I213" s="2"/>
      <c r="J213" s="2"/>
      <c r="K213" s="3">
        <v>40034</v>
      </c>
      <c r="L213" s="2"/>
      <c r="M213" s="2"/>
      <c r="N213" s="2" t="s">
        <v>18</v>
      </c>
    </row>
    <row r="214" spans="1:14" ht="15.75" customHeight="1" x14ac:dyDescent="0.35">
      <c r="A214" s="2" t="s">
        <v>456</v>
      </c>
      <c r="B214" s="2" t="str" cm="1">
        <f t="array" ref="B214">_xlfn.IFS(AND(LEN('Special Help Table'!$A214)-(LEN(SUBSTITUTE('Special Help Table'!$A214,";","")))=0,LEN('Special Help Table'!$A214)-LEN(SUBSTITUTE('Special Help Table'!$A214,",",""))=1,LEN('Special Help Table'!$A214)-LEN(SUBSTITUTE('Special Help Table'!$A214,"and ",""))=0),MID('Special Help Table'!$A214&amp;" "&amp;'Special Help Table'!$A214,SEARCH(", ",'Special Help Table'!$A214)+1,LEN('Special Help Table'!$A214)),AND(LEN('Special Help Table'!$A214)-(LEN(SUBSTITUTE('Special Help Table'!$A214,";","")))=1,LEN('Special Help Table'!$A214)-LEN(SUBSTITUTE('Special Help Table'!$A214,"and ",""))=0),MID('Special Help Table'!$A214,SEARCH(",",'Special Help Table'!$A214)+1,(SEARCH(";",'Special Help Table'!$A214)-1)-SEARCH(",",'Special Help Table'!$A214))&amp;" "&amp;LEFT('Special Help Table'!$A214,SEARCH(",",'Special Help Table'!$A214)-1)&amp;";"&amp;RIGHT('Special Help Table'!$A214,LEN('Special Help Table'!$A214)-SEARCH(",",'Special Help Table'!$A214,SEARCH(";",'Special Help Table'!$A214)))&amp;" "&amp;MID('Special Help Table'!$A214,SEARCH("; ",'Special Help Table'!$A214)+2,SEARCH(",",'Special Help Table'!$A214,SEARCH(";",'Special Help Table'!$A214))-SEARCH(";",'Special Help Table'!$A214)-2),AND(LEN('Special Help Table'!$A214)-LEN(SUBSTITUTE('Special Help Table'!$A214,"and ",""))=0,LEN('Special Help Table'!$A214)-LEN(SUBSTITUTE('Special Help Table'!$A214,";",""))=0),'Special Help Table'!$A214,AND(LEN('Special Help Table'!$A214)-LEN(SUBSTITUTE('Special Help Table'!$A214,",","")=1),LEN('Special Help Table'!$A214)-LEN(SUBSTITUTE('Special Help Table'!$A214," ","")=20),LEN('Special Help Table'!$A214)-LEN(SUBSTITUTE('Special Help Table'!$A214," and",""))=0,LEN('Special Help Table'!$A214)-LEN(SUBSTITUTE('Special Help Table'!$A214,",","",FIND(" ",'Special Help Table'!$A214)+1))=0),RIGHT('Special Help Table'!$A214,LEN('Special Help Table'!$A214)-FIND(", ",'Special Help Table'!$A214))&amp;" "&amp;LEFT('Special Help Table'!$A214,FIND(",",'Special Help Table'!$A214)-1),AND(LEN('Special Help Table'!$A214)-LEN(SUBSTITUTE('Special Help Table'!$A214,"editor",""))=6,LEN('Special Help Table'!$A214)-LEN(SUBSTITUTE('Special Help Table'!$A214,"(",""))=0,LEN('Special Help Table'!$A214)-LEN(SUBSTITUTE('Special Help Table'!$A214,"and",""))=3,LEN('Special Help Table'!$A214)-LEN(SUBSTITUTE('Special Help Table'!$A214,",",""))=1,LEN('Special Help Table'!$A214)-LEN(SUBSTITUTE('Special Help Table'!$A214," ",""))=3),'Special Help Table'!$A214)</f>
        <v>Ferguson Sinclair B.</v>
      </c>
      <c r="C214" s="4" t="s">
        <v>457</v>
      </c>
      <c r="D214" s="2"/>
      <c r="E214" s="2" t="s">
        <v>16</v>
      </c>
      <c r="F214" s="2" t="s">
        <v>28</v>
      </c>
      <c r="G214" s="2"/>
      <c r="H214" s="2"/>
      <c r="I214" s="2"/>
      <c r="J214" s="2"/>
      <c r="K214" s="3">
        <v>40034</v>
      </c>
      <c r="L214" s="2"/>
      <c r="M214" s="2"/>
      <c r="N214" s="2" t="s">
        <v>18</v>
      </c>
    </row>
    <row r="215" spans="1:14" ht="15.75" customHeight="1" x14ac:dyDescent="0.35">
      <c r="A215" s="2" t="s">
        <v>456</v>
      </c>
      <c r="B215" s="2" t="str" cm="1">
        <f t="array" ref="B215">_xlfn.IFS(AND(LEN('Special Help Table'!$A215)-(LEN(SUBSTITUTE('Special Help Table'!$A215,";","")))=0,LEN('Special Help Table'!$A215)-LEN(SUBSTITUTE('Special Help Table'!$A215,",",""))=1,LEN('Special Help Table'!$A215)-LEN(SUBSTITUTE('Special Help Table'!$A215,"and ",""))=0),MID('Special Help Table'!$A215&amp;" "&amp;'Special Help Table'!$A215,SEARCH(", ",'Special Help Table'!$A215)+1,LEN('Special Help Table'!$A215)),AND(LEN('Special Help Table'!$A215)-(LEN(SUBSTITUTE('Special Help Table'!$A215,";","")))=1,LEN('Special Help Table'!$A215)-LEN(SUBSTITUTE('Special Help Table'!$A215,"and ",""))=0),MID('Special Help Table'!$A215,SEARCH(",",'Special Help Table'!$A215)+1,(SEARCH(";",'Special Help Table'!$A215)-1)-SEARCH(",",'Special Help Table'!$A215))&amp;" "&amp;LEFT('Special Help Table'!$A215,SEARCH(",",'Special Help Table'!$A215)-1)&amp;";"&amp;RIGHT('Special Help Table'!$A215,LEN('Special Help Table'!$A215)-SEARCH(",",'Special Help Table'!$A215,SEARCH(";",'Special Help Table'!$A215)))&amp;" "&amp;MID('Special Help Table'!$A215,SEARCH("; ",'Special Help Table'!$A215)+2,SEARCH(",",'Special Help Table'!$A215,SEARCH(";",'Special Help Table'!$A215))-SEARCH(";",'Special Help Table'!$A215)-2),AND(LEN('Special Help Table'!$A215)-LEN(SUBSTITUTE('Special Help Table'!$A215,"and ",""))=0,LEN('Special Help Table'!$A215)-LEN(SUBSTITUTE('Special Help Table'!$A215,";",""))=0),'Special Help Table'!$A215,AND(LEN('Special Help Table'!$A215)-LEN(SUBSTITUTE('Special Help Table'!$A215,",","")=1),LEN('Special Help Table'!$A215)-LEN(SUBSTITUTE('Special Help Table'!$A215," ","")=20),LEN('Special Help Table'!$A215)-LEN(SUBSTITUTE('Special Help Table'!$A215," and",""))=0,LEN('Special Help Table'!$A215)-LEN(SUBSTITUTE('Special Help Table'!$A215,",","",FIND(" ",'Special Help Table'!$A215)+1))=0),RIGHT('Special Help Table'!$A215,LEN('Special Help Table'!$A215)-FIND(", ",'Special Help Table'!$A215))&amp;" "&amp;LEFT('Special Help Table'!$A215,FIND(",",'Special Help Table'!$A215)-1),AND(LEN('Special Help Table'!$A215)-LEN(SUBSTITUTE('Special Help Table'!$A215,"editor",""))=6,LEN('Special Help Table'!$A215)-LEN(SUBSTITUTE('Special Help Table'!$A215,"(",""))=0,LEN('Special Help Table'!$A215)-LEN(SUBSTITUTE('Special Help Table'!$A215,"and",""))=3,LEN('Special Help Table'!$A215)-LEN(SUBSTITUTE('Special Help Table'!$A215,",",""))=1,LEN('Special Help Table'!$A215)-LEN(SUBSTITUTE('Special Help Table'!$A215," ",""))=3),'Special Help Table'!$A215)</f>
        <v>Ferguson Sinclair B.</v>
      </c>
      <c r="C215" s="4" t="s">
        <v>458</v>
      </c>
      <c r="D215" s="2"/>
      <c r="E215" s="2" t="s">
        <v>16</v>
      </c>
      <c r="F215" s="2" t="s">
        <v>17</v>
      </c>
      <c r="G215" s="2"/>
      <c r="H215" s="2"/>
      <c r="I215" s="2"/>
      <c r="J215" s="2" t="s">
        <v>459</v>
      </c>
      <c r="K215" s="3">
        <v>40034</v>
      </c>
      <c r="L215" s="2"/>
      <c r="M215" s="2"/>
      <c r="N215" s="2" t="s">
        <v>18</v>
      </c>
    </row>
    <row r="216" spans="1:14" ht="15.75" customHeight="1" x14ac:dyDescent="0.35">
      <c r="A216" s="2" t="s">
        <v>456</v>
      </c>
      <c r="B216" s="2" t="str" cm="1">
        <f t="array" ref="B216">_xlfn.IFS(AND(LEN('Special Help Table'!$A216)-(LEN(SUBSTITUTE('Special Help Table'!$A216,";","")))=0,LEN('Special Help Table'!$A216)-LEN(SUBSTITUTE('Special Help Table'!$A216,",",""))=1,LEN('Special Help Table'!$A216)-LEN(SUBSTITUTE('Special Help Table'!$A216,"and ",""))=0),MID('Special Help Table'!$A216&amp;" "&amp;'Special Help Table'!$A216,SEARCH(", ",'Special Help Table'!$A216)+1,LEN('Special Help Table'!$A216)),AND(LEN('Special Help Table'!$A216)-(LEN(SUBSTITUTE('Special Help Table'!$A216,";","")))=1,LEN('Special Help Table'!$A216)-LEN(SUBSTITUTE('Special Help Table'!$A216,"and ",""))=0),MID('Special Help Table'!$A216,SEARCH(",",'Special Help Table'!$A216)+1,(SEARCH(";",'Special Help Table'!$A216)-1)-SEARCH(",",'Special Help Table'!$A216))&amp;" "&amp;LEFT('Special Help Table'!$A216,SEARCH(",",'Special Help Table'!$A216)-1)&amp;";"&amp;RIGHT('Special Help Table'!$A216,LEN('Special Help Table'!$A216)-SEARCH(",",'Special Help Table'!$A216,SEARCH(";",'Special Help Table'!$A216)))&amp;" "&amp;MID('Special Help Table'!$A216,SEARCH("; ",'Special Help Table'!$A216)+2,SEARCH(",",'Special Help Table'!$A216,SEARCH(";",'Special Help Table'!$A216))-SEARCH(";",'Special Help Table'!$A216)-2),AND(LEN('Special Help Table'!$A216)-LEN(SUBSTITUTE('Special Help Table'!$A216,"and ",""))=0,LEN('Special Help Table'!$A216)-LEN(SUBSTITUTE('Special Help Table'!$A216,";",""))=0),'Special Help Table'!$A216,AND(LEN('Special Help Table'!$A216)-LEN(SUBSTITUTE('Special Help Table'!$A216,",","")=1),LEN('Special Help Table'!$A216)-LEN(SUBSTITUTE('Special Help Table'!$A216," ","")=20),LEN('Special Help Table'!$A216)-LEN(SUBSTITUTE('Special Help Table'!$A216," and",""))=0,LEN('Special Help Table'!$A216)-LEN(SUBSTITUTE('Special Help Table'!$A216,",","",FIND(" ",'Special Help Table'!$A216)+1))=0),RIGHT('Special Help Table'!$A216,LEN('Special Help Table'!$A216)-FIND(", ",'Special Help Table'!$A216))&amp;" "&amp;LEFT('Special Help Table'!$A216,FIND(",",'Special Help Table'!$A216)-1),AND(LEN('Special Help Table'!$A216)-LEN(SUBSTITUTE('Special Help Table'!$A216,"editor",""))=6,LEN('Special Help Table'!$A216)-LEN(SUBSTITUTE('Special Help Table'!$A216,"(",""))=0,LEN('Special Help Table'!$A216)-LEN(SUBSTITUTE('Special Help Table'!$A216,"and",""))=3,LEN('Special Help Table'!$A216)-LEN(SUBSTITUTE('Special Help Table'!$A216,",",""))=1,LEN('Special Help Table'!$A216)-LEN(SUBSTITUTE('Special Help Table'!$A216," ",""))=3),'Special Help Table'!$A216)</f>
        <v>Ferguson Sinclair B.</v>
      </c>
      <c r="C216" s="4" t="s">
        <v>460</v>
      </c>
      <c r="D216" s="2"/>
      <c r="E216" s="2" t="s">
        <v>16</v>
      </c>
      <c r="F216" s="2" t="s">
        <v>36</v>
      </c>
      <c r="G216" s="2"/>
      <c r="H216" s="2"/>
      <c r="I216" s="2"/>
      <c r="J216" s="2"/>
      <c r="K216" s="3">
        <v>42705</v>
      </c>
      <c r="L216" s="2"/>
      <c r="M216" s="2"/>
      <c r="N216" s="2" t="s">
        <v>18</v>
      </c>
    </row>
    <row r="217" spans="1:14" ht="15.75" customHeight="1" x14ac:dyDescent="0.35">
      <c r="A217" s="2" t="s">
        <v>456</v>
      </c>
      <c r="B217" s="2" t="str" cm="1">
        <f t="array" ref="B217">_xlfn.IFS(AND(LEN('Special Help Table'!$A217)-(LEN(SUBSTITUTE('Special Help Table'!$A217,";","")))=0,LEN('Special Help Table'!$A217)-LEN(SUBSTITUTE('Special Help Table'!$A217,",",""))=1,LEN('Special Help Table'!$A217)-LEN(SUBSTITUTE('Special Help Table'!$A217,"and ",""))=0),MID('Special Help Table'!$A217&amp;" "&amp;'Special Help Table'!$A217,SEARCH(", ",'Special Help Table'!$A217)+1,LEN('Special Help Table'!$A217)),AND(LEN('Special Help Table'!$A217)-(LEN(SUBSTITUTE('Special Help Table'!$A217,";","")))=1,LEN('Special Help Table'!$A217)-LEN(SUBSTITUTE('Special Help Table'!$A217,"and ",""))=0),MID('Special Help Table'!$A217,SEARCH(",",'Special Help Table'!$A217)+1,(SEARCH(";",'Special Help Table'!$A217)-1)-SEARCH(",",'Special Help Table'!$A217))&amp;" "&amp;LEFT('Special Help Table'!$A217,SEARCH(",",'Special Help Table'!$A217)-1)&amp;";"&amp;RIGHT('Special Help Table'!$A217,LEN('Special Help Table'!$A217)-SEARCH(",",'Special Help Table'!$A217,SEARCH(";",'Special Help Table'!$A217)))&amp;" "&amp;MID('Special Help Table'!$A217,SEARCH("; ",'Special Help Table'!$A217)+2,SEARCH(",",'Special Help Table'!$A217,SEARCH(";",'Special Help Table'!$A217))-SEARCH(";",'Special Help Table'!$A217)-2),AND(LEN('Special Help Table'!$A217)-LEN(SUBSTITUTE('Special Help Table'!$A217,"and ",""))=0,LEN('Special Help Table'!$A217)-LEN(SUBSTITUTE('Special Help Table'!$A217,";",""))=0),'Special Help Table'!$A217,AND(LEN('Special Help Table'!$A217)-LEN(SUBSTITUTE('Special Help Table'!$A217,",","")=1),LEN('Special Help Table'!$A217)-LEN(SUBSTITUTE('Special Help Table'!$A217," ","")=20),LEN('Special Help Table'!$A217)-LEN(SUBSTITUTE('Special Help Table'!$A217," and",""))=0,LEN('Special Help Table'!$A217)-LEN(SUBSTITUTE('Special Help Table'!$A217,",","",FIND(" ",'Special Help Table'!$A217)+1))=0),RIGHT('Special Help Table'!$A217,LEN('Special Help Table'!$A217)-FIND(", ",'Special Help Table'!$A217))&amp;" "&amp;LEFT('Special Help Table'!$A217,FIND(",",'Special Help Table'!$A217)-1),AND(LEN('Special Help Table'!$A217)-LEN(SUBSTITUTE('Special Help Table'!$A217,"editor",""))=6,LEN('Special Help Table'!$A217)-LEN(SUBSTITUTE('Special Help Table'!$A217,"(",""))=0,LEN('Special Help Table'!$A217)-LEN(SUBSTITUTE('Special Help Table'!$A217,"and",""))=3,LEN('Special Help Table'!$A217)-LEN(SUBSTITUTE('Special Help Table'!$A217,",",""))=1,LEN('Special Help Table'!$A217)-LEN(SUBSTITUTE('Special Help Table'!$A217," ",""))=3),'Special Help Table'!$A217)</f>
        <v>Ferguson Sinclair B.</v>
      </c>
      <c r="C217" s="4" t="s">
        <v>461</v>
      </c>
      <c r="D217" s="2"/>
      <c r="E217" s="2" t="s">
        <v>16</v>
      </c>
      <c r="F217" s="2" t="s">
        <v>36</v>
      </c>
      <c r="G217" s="2"/>
      <c r="H217" s="2"/>
      <c r="I217" s="2"/>
      <c r="J217" s="2"/>
      <c r="K217" s="3">
        <v>40034</v>
      </c>
      <c r="L217" s="2"/>
      <c r="M217" s="2"/>
      <c r="N217" s="2" t="s">
        <v>18</v>
      </c>
    </row>
    <row r="218" spans="1:14" ht="15.75" customHeight="1" x14ac:dyDescent="0.35">
      <c r="A218" s="2" t="s">
        <v>456</v>
      </c>
      <c r="B218" s="2" t="str" cm="1">
        <f t="array" ref="B218">_xlfn.IFS(AND(LEN('Special Help Table'!$A218)-(LEN(SUBSTITUTE('Special Help Table'!$A218,";","")))=0,LEN('Special Help Table'!$A218)-LEN(SUBSTITUTE('Special Help Table'!$A218,",",""))=1,LEN('Special Help Table'!$A218)-LEN(SUBSTITUTE('Special Help Table'!$A218,"and ",""))=0),MID('Special Help Table'!$A218&amp;" "&amp;'Special Help Table'!$A218,SEARCH(", ",'Special Help Table'!$A218)+1,LEN('Special Help Table'!$A218)),AND(LEN('Special Help Table'!$A218)-(LEN(SUBSTITUTE('Special Help Table'!$A218,";","")))=1,LEN('Special Help Table'!$A218)-LEN(SUBSTITUTE('Special Help Table'!$A218,"and ",""))=0),MID('Special Help Table'!$A218,SEARCH(",",'Special Help Table'!$A218)+1,(SEARCH(";",'Special Help Table'!$A218)-1)-SEARCH(",",'Special Help Table'!$A218))&amp;" "&amp;LEFT('Special Help Table'!$A218,SEARCH(",",'Special Help Table'!$A218)-1)&amp;";"&amp;RIGHT('Special Help Table'!$A218,LEN('Special Help Table'!$A218)-SEARCH(",",'Special Help Table'!$A218,SEARCH(";",'Special Help Table'!$A218)))&amp;" "&amp;MID('Special Help Table'!$A218,SEARCH("; ",'Special Help Table'!$A218)+2,SEARCH(",",'Special Help Table'!$A218,SEARCH(";",'Special Help Table'!$A218))-SEARCH(";",'Special Help Table'!$A218)-2),AND(LEN('Special Help Table'!$A218)-LEN(SUBSTITUTE('Special Help Table'!$A218,"and ",""))=0,LEN('Special Help Table'!$A218)-LEN(SUBSTITUTE('Special Help Table'!$A218,";",""))=0),'Special Help Table'!$A218,AND(LEN('Special Help Table'!$A218)-LEN(SUBSTITUTE('Special Help Table'!$A218,",","")=1),LEN('Special Help Table'!$A218)-LEN(SUBSTITUTE('Special Help Table'!$A218," ","")=20),LEN('Special Help Table'!$A218)-LEN(SUBSTITUTE('Special Help Table'!$A218," and",""))=0,LEN('Special Help Table'!$A218)-LEN(SUBSTITUTE('Special Help Table'!$A218,",","",FIND(" ",'Special Help Table'!$A218)+1))=0),RIGHT('Special Help Table'!$A218,LEN('Special Help Table'!$A218)-FIND(", ",'Special Help Table'!$A218))&amp;" "&amp;LEFT('Special Help Table'!$A218,FIND(",",'Special Help Table'!$A218)-1),AND(LEN('Special Help Table'!$A218)-LEN(SUBSTITUTE('Special Help Table'!$A218,"editor",""))=6,LEN('Special Help Table'!$A218)-LEN(SUBSTITUTE('Special Help Table'!$A218,"(",""))=0,LEN('Special Help Table'!$A218)-LEN(SUBSTITUTE('Special Help Table'!$A218,"and",""))=3,LEN('Special Help Table'!$A218)-LEN(SUBSTITUTE('Special Help Table'!$A218,",",""))=1,LEN('Special Help Table'!$A218)-LEN(SUBSTITUTE('Special Help Table'!$A218," ",""))=3),'Special Help Table'!$A218)</f>
        <v>Ferguson Sinclair B.</v>
      </c>
      <c r="C218" s="4" t="s">
        <v>462</v>
      </c>
      <c r="D218" s="2"/>
      <c r="E218" s="2" t="s">
        <v>16</v>
      </c>
      <c r="F218" s="2" t="s">
        <v>36</v>
      </c>
      <c r="G218" s="2"/>
      <c r="H218" s="2"/>
      <c r="I218" s="2"/>
      <c r="J218" s="2"/>
      <c r="K218" s="3">
        <v>43988</v>
      </c>
      <c r="L218" s="2"/>
      <c r="M218" s="2"/>
      <c r="N218" s="2" t="s">
        <v>18</v>
      </c>
    </row>
    <row r="219" spans="1:14" ht="15.75" customHeight="1" x14ac:dyDescent="0.35">
      <c r="A219" s="2" t="s">
        <v>456</v>
      </c>
      <c r="B219" s="2" t="str" cm="1">
        <f t="array" ref="B219">_xlfn.IFS(AND(LEN('Special Help Table'!$A219)-(LEN(SUBSTITUTE('Special Help Table'!$A219,";","")))=0,LEN('Special Help Table'!$A219)-LEN(SUBSTITUTE('Special Help Table'!$A219,",",""))=1,LEN('Special Help Table'!$A219)-LEN(SUBSTITUTE('Special Help Table'!$A219,"and ",""))=0),MID('Special Help Table'!$A219&amp;" "&amp;'Special Help Table'!$A219,SEARCH(", ",'Special Help Table'!$A219)+1,LEN('Special Help Table'!$A219)),AND(LEN('Special Help Table'!$A219)-(LEN(SUBSTITUTE('Special Help Table'!$A219,";","")))=1,LEN('Special Help Table'!$A219)-LEN(SUBSTITUTE('Special Help Table'!$A219,"and ",""))=0),MID('Special Help Table'!$A219,SEARCH(",",'Special Help Table'!$A219)+1,(SEARCH(";",'Special Help Table'!$A219)-1)-SEARCH(",",'Special Help Table'!$A219))&amp;" "&amp;LEFT('Special Help Table'!$A219,SEARCH(",",'Special Help Table'!$A219)-1)&amp;";"&amp;RIGHT('Special Help Table'!$A219,LEN('Special Help Table'!$A219)-SEARCH(",",'Special Help Table'!$A219,SEARCH(";",'Special Help Table'!$A219)))&amp;" "&amp;MID('Special Help Table'!$A219,SEARCH("; ",'Special Help Table'!$A219)+2,SEARCH(",",'Special Help Table'!$A219,SEARCH(";",'Special Help Table'!$A219))-SEARCH(";",'Special Help Table'!$A219)-2),AND(LEN('Special Help Table'!$A219)-LEN(SUBSTITUTE('Special Help Table'!$A219,"and ",""))=0,LEN('Special Help Table'!$A219)-LEN(SUBSTITUTE('Special Help Table'!$A219,";",""))=0),'Special Help Table'!$A219,AND(LEN('Special Help Table'!$A219)-LEN(SUBSTITUTE('Special Help Table'!$A219,",","")=1),LEN('Special Help Table'!$A219)-LEN(SUBSTITUTE('Special Help Table'!$A219," ","")=20),LEN('Special Help Table'!$A219)-LEN(SUBSTITUTE('Special Help Table'!$A219," and",""))=0,LEN('Special Help Table'!$A219)-LEN(SUBSTITUTE('Special Help Table'!$A219,",","",FIND(" ",'Special Help Table'!$A219)+1))=0),RIGHT('Special Help Table'!$A219,LEN('Special Help Table'!$A219)-FIND(", ",'Special Help Table'!$A219))&amp;" "&amp;LEFT('Special Help Table'!$A219,FIND(",",'Special Help Table'!$A219)-1),AND(LEN('Special Help Table'!$A219)-LEN(SUBSTITUTE('Special Help Table'!$A219,"editor",""))=6,LEN('Special Help Table'!$A219)-LEN(SUBSTITUTE('Special Help Table'!$A219,"(",""))=0,LEN('Special Help Table'!$A219)-LEN(SUBSTITUTE('Special Help Table'!$A219,"and",""))=3,LEN('Special Help Table'!$A219)-LEN(SUBSTITUTE('Special Help Table'!$A219,",",""))=1,LEN('Special Help Table'!$A219)-LEN(SUBSTITUTE('Special Help Table'!$A219," ",""))=3),'Special Help Table'!$A219)</f>
        <v>Ferguson Sinclair B.</v>
      </c>
      <c r="C219" s="4" t="s">
        <v>463</v>
      </c>
      <c r="D219" s="2"/>
      <c r="E219" s="2" t="s">
        <v>16</v>
      </c>
      <c r="F219" s="2" t="s">
        <v>72</v>
      </c>
      <c r="G219" s="2"/>
      <c r="H219" s="2"/>
      <c r="I219" s="2"/>
      <c r="J219" s="2"/>
      <c r="K219" s="3">
        <v>42693</v>
      </c>
      <c r="L219" s="2"/>
      <c r="M219" s="2"/>
      <c r="N219" s="2" t="s">
        <v>18</v>
      </c>
    </row>
    <row r="220" spans="1:14" ht="15.75" customHeight="1" x14ac:dyDescent="0.35">
      <c r="A220" s="2" t="s">
        <v>456</v>
      </c>
      <c r="B220" s="2" t="str" cm="1">
        <f t="array" ref="B220">_xlfn.IFS(AND(LEN('Special Help Table'!$A220)-(LEN(SUBSTITUTE('Special Help Table'!$A220,";","")))=0,LEN('Special Help Table'!$A220)-LEN(SUBSTITUTE('Special Help Table'!$A220,",",""))=1,LEN('Special Help Table'!$A220)-LEN(SUBSTITUTE('Special Help Table'!$A220,"and ",""))=0),MID('Special Help Table'!$A220&amp;" "&amp;'Special Help Table'!$A220,SEARCH(", ",'Special Help Table'!$A220)+1,LEN('Special Help Table'!$A220)),AND(LEN('Special Help Table'!$A220)-(LEN(SUBSTITUTE('Special Help Table'!$A220,";","")))=1,LEN('Special Help Table'!$A220)-LEN(SUBSTITUTE('Special Help Table'!$A220,"and ",""))=0),MID('Special Help Table'!$A220,SEARCH(",",'Special Help Table'!$A220)+1,(SEARCH(";",'Special Help Table'!$A220)-1)-SEARCH(",",'Special Help Table'!$A220))&amp;" "&amp;LEFT('Special Help Table'!$A220,SEARCH(",",'Special Help Table'!$A220)-1)&amp;";"&amp;RIGHT('Special Help Table'!$A220,LEN('Special Help Table'!$A220)-SEARCH(",",'Special Help Table'!$A220,SEARCH(";",'Special Help Table'!$A220)))&amp;" "&amp;MID('Special Help Table'!$A220,SEARCH("; ",'Special Help Table'!$A220)+2,SEARCH(",",'Special Help Table'!$A220,SEARCH(";",'Special Help Table'!$A220))-SEARCH(";",'Special Help Table'!$A220)-2),AND(LEN('Special Help Table'!$A220)-LEN(SUBSTITUTE('Special Help Table'!$A220,"and ",""))=0,LEN('Special Help Table'!$A220)-LEN(SUBSTITUTE('Special Help Table'!$A220,";",""))=0),'Special Help Table'!$A220,AND(LEN('Special Help Table'!$A220)-LEN(SUBSTITUTE('Special Help Table'!$A220,",","")=1),LEN('Special Help Table'!$A220)-LEN(SUBSTITUTE('Special Help Table'!$A220," ","")=20),LEN('Special Help Table'!$A220)-LEN(SUBSTITUTE('Special Help Table'!$A220," and",""))=0,LEN('Special Help Table'!$A220)-LEN(SUBSTITUTE('Special Help Table'!$A220,",","",FIND(" ",'Special Help Table'!$A220)+1))=0),RIGHT('Special Help Table'!$A220,LEN('Special Help Table'!$A220)-FIND(", ",'Special Help Table'!$A220))&amp;" "&amp;LEFT('Special Help Table'!$A220,FIND(",",'Special Help Table'!$A220)-1),AND(LEN('Special Help Table'!$A220)-LEN(SUBSTITUTE('Special Help Table'!$A220,"editor",""))=6,LEN('Special Help Table'!$A220)-LEN(SUBSTITUTE('Special Help Table'!$A220,"(",""))=0,LEN('Special Help Table'!$A220)-LEN(SUBSTITUTE('Special Help Table'!$A220,"and",""))=3,LEN('Special Help Table'!$A220)-LEN(SUBSTITUTE('Special Help Table'!$A220,",",""))=1,LEN('Special Help Table'!$A220)-LEN(SUBSTITUTE('Special Help Table'!$A220," ",""))=3),'Special Help Table'!$A220)</f>
        <v>Ferguson Sinclair B.</v>
      </c>
      <c r="C220" s="4" t="s">
        <v>464</v>
      </c>
      <c r="D220" s="2"/>
      <c r="E220" s="2" t="s">
        <v>16</v>
      </c>
      <c r="F220" s="2" t="s">
        <v>72</v>
      </c>
      <c r="G220" s="2"/>
      <c r="H220" s="2"/>
      <c r="I220" s="2"/>
      <c r="J220" s="2"/>
      <c r="K220" s="3">
        <v>42693</v>
      </c>
      <c r="L220" s="2"/>
      <c r="M220" s="2"/>
      <c r="N220" s="2" t="s">
        <v>18</v>
      </c>
    </row>
    <row r="221" spans="1:14" ht="15.75" customHeight="1" x14ac:dyDescent="0.35">
      <c r="A221" s="2" t="s">
        <v>456</v>
      </c>
      <c r="B221" s="2" t="str" cm="1">
        <f t="array" ref="B221">_xlfn.IFS(AND(LEN('Special Help Table'!$A221)-(LEN(SUBSTITUTE('Special Help Table'!$A221,";","")))=0,LEN('Special Help Table'!$A221)-LEN(SUBSTITUTE('Special Help Table'!$A221,",",""))=1,LEN('Special Help Table'!$A221)-LEN(SUBSTITUTE('Special Help Table'!$A221,"and ",""))=0),MID('Special Help Table'!$A221&amp;" "&amp;'Special Help Table'!$A221,SEARCH(", ",'Special Help Table'!$A221)+1,LEN('Special Help Table'!$A221)),AND(LEN('Special Help Table'!$A221)-(LEN(SUBSTITUTE('Special Help Table'!$A221,";","")))=1,LEN('Special Help Table'!$A221)-LEN(SUBSTITUTE('Special Help Table'!$A221,"and ",""))=0),MID('Special Help Table'!$A221,SEARCH(",",'Special Help Table'!$A221)+1,(SEARCH(";",'Special Help Table'!$A221)-1)-SEARCH(",",'Special Help Table'!$A221))&amp;" "&amp;LEFT('Special Help Table'!$A221,SEARCH(",",'Special Help Table'!$A221)-1)&amp;";"&amp;RIGHT('Special Help Table'!$A221,LEN('Special Help Table'!$A221)-SEARCH(",",'Special Help Table'!$A221,SEARCH(";",'Special Help Table'!$A221)))&amp;" "&amp;MID('Special Help Table'!$A221,SEARCH("; ",'Special Help Table'!$A221)+2,SEARCH(",",'Special Help Table'!$A221,SEARCH(";",'Special Help Table'!$A221))-SEARCH(";",'Special Help Table'!$A221)-2),AND(LEN('Special Help Table'!$A221)-LEN(SUBSTITUTE('Special Help Table'!$A221,"and ",""))=0,LEN('Special Help Table'!$A221)-LEN(SUBSTITUTE('Special Help Table'!$A221,";",""))=0),'Special Help Table'!$A221,AND(LEN('Special Help Table'!$A221)-LEN(SUBSTITUTE('Special Help Table'!$A221,",","")=1),LEN('Special Help Table'!$A221)-LEN(SUBSTITUTE('Special Help Table'!$A221," ","")=20),LEN('Special Help Table'!$A221)-LEN(SUBSTITUTE('Special Help Table'!$A221," and",""))=0,LEN('Special Help Table'!$A221)-LEN(SUBSTITUTE('Special Help Table'!$A221,",","",FIND(" ",'Special Help Table'!$A221)+1))=0),RIGHT('Special Help Table'!$A221,LEN('Special Help Table'!$A221)-FIND(", ",'Special Help Table'!$A221))&amp;" "&amp;LEFT('Special Help Table'!$A221,FIND(",",'Special Help Table'!$A221)-1),AND(LEN('Special Help Table'!$A221)-LEN(SUBSTITUTE('Special Help Table'!$A221,"editor",""))=6,LEN('Special Help Table'!$A221)-LEN(SUBSTITUTE('Special Help Table'!$A221,"(",""))=0,LEN('Special Help Table'!$A221)-LEN(SUBSTITUTE('Special Help Table'!$A221,"and",""))=3,LEN('Special Help Table'!$A221)-LEN(SUBSTITUTE('Special Help Table'!$A221,",",""))=1,LEN('Special Help Table'!$A221)-LEN(SUBSTITUTE('Special Help Table'!$A221," ",""))=3),'Special Help Table'!$A221)</f>
        <v>Ferguson Sinclair B.</v>
      </c>
      <c r="C221" s="4" t="s">
        <v>465</v>
      </c>
      <c r="D221" s="2"/>
      <c r="E221" s="2" t="s">
        <v>16</v>
      </c>
      <c r="F221" s="2" t="s">
        <v>72</v>
      </c>
      <c r="G221" s="2"/>
      <c r="H221" s="2"/>
      <c r="I221" s="2"/>
      <c r="J221" s="2"/>
      <c r="K221" s="3">
        <v>40034</v>
      </c>
      <c r="L221" s="2" t="s">
        <v>331</v>
      </c>
      <c r="M221" s="2"/>
      <c r="N221" s="2" t="s">
        <v>18</v>
      </c>
    </row>
    <row r="222" spans="1:14" ht="15.75" customHeight="1" x14ac:dyDescent="0.35">
      <c r="A222" s="2" t="s">
        <v>456</v>
      </c>
      <c r="B222" s="2" t="str" cm="1">
        <f t="array" ref="B222">_xlfn.IFS(AND(LEN('Special Help Table'!$A222)-(LEN(SUBSTITUTE('Special Help Table'!$A222,";","")))=0,LEN('Special Help Table'!$A222)-LEN(SUBSTITUTE('Special Help Table'!$A222,",",""))=1,LEN('Special Help Table'!$A222)-LEN(SUBSTITUTE('Special Help Table'!$A222,"and ",""))=0),MID('Special Help Table'!$A222&amp;" "&amp;'Special Help Table'!$A222,SEARCH(", ",'Special Help Table'!$A222)+1,LEN('Special Help Table'!$A222)),AND(LEN('Special Help Table'!$A222)-(LEN(SUBSTITUTE('Special Help Table'!$A222,";","")))=1,LEN('Special Help Table'!$A222)-LEN(SUBSTITUTE('Special Help Table'!$A222,"and ",""))=0),MID('Special Help Table'!$A222,SEARCH(",",'Special Help Table'!$A222)+1,(SEARCH(";",'Special Help Table'!$A222)-1)-SEARCH(",",'Special Help Table'!$A222))&amp;" "&amp;LEFT('Special Help Table'!$A222,SEARCH(",",'Special Help Table'!$A222)-1)&amp;";"&amp;RIGHT('Special Help Table'!$A222,LEN('Special Help Table'!$A222)-SEARCH(",",'Special Help Table'!$A222,SEARCH(";",'Special Help Table'!$A222)))&amp;" "&amp;MID('Special Help Table'!$A222,SEARCH("; ",'Special Help Table'!$A222)+2,SEARCH(",",'Special Help Table'!$A222,SEARCH(";",'Special Help Table'!$A222))-SEARCH(";",'Special Help Table'!$A222)-2),AND(LEN('Special Help Table'!$A222)-LEN(SUBSTITUTE('Special Help Table'!$A222,"and ",""))=0,LEN('Special Help Table'!$A222)-LEN(SUBSTITUTE('Special Help Table'!$A222,";",""))=0),'Special Help Table'!$A222,AND(LEN('Special Help Table'!$A222)-LEN(SUBSTITUTE('Special Help Table'!$A222,",","")=1),LEN('Special Help Table'!$A222)-LEN(SUBSTITUTE('Special Help Table'!$A222," ","")=20),LEN('Special Help Table'!$A222)-LEN(SUBSTITUTE('Special Help Table'!$A222," and",""))=0,LEN('Special Help Table'!$A222)-LEN(SUBSTITUTE('Special Help Table'!$A222,",","",FIND(" ",'Special Help Table'!$A222)+1))=0),RIGHT('Special Help Table'!$A222,LEN('Special Help Table'!$A222)-FIND(", ",'Special Help Table'!$A222))&amp;" "&amp;LEFT('Special Help Table'!$A222,FIND(",",'Special Help Table'!$A222)-1),AND(LEN('Special Help Table'!$A222)-LEN(SUBSTITUTE('Special Help Table'!$A222,"editor",""))=6,LEN('Special Help Table'!$A222)-LEN(SUBSTITUTE('Special Help Table'!$A222,"(",""))=0,LEN('Special Help Table'!$A222)-LEN(SUBSTITUTE('Special Help Table'!$A222,"and",""))=3,LEN('Special Help Table'!$A222)-LEN(SUBSTITUTE('Special Help Table'!$A222,",",""))=1,LEN('Special Help Table'!$A222)-LEN(SUBSTITUTE('Special Help Table'!$A222," ",""))=3),'Special Help Table'!$A222)</f>
        <v>Ferguson Sinclair B.</v>
      </c>
      <c r="C222" s="4" t="s">
        <v>466</v>
      </c>
      <c r="D222" s="2"/>
      <c r="E222" s="2" t="s">
        <v>16</v>
      </c>
      <c r="F222" s="2" t="s">
        <v>72</v>
      </c>
      <c r="G222" s="2"/>
      <c r="H222" s="2"/>
      <c r="I222" s="2"/>
      <c r="J222" s="2"/>
      <c r="K222" s="3">
        <v>40034</v>
      </c>
      <c r="L222" s="2"/>
      <c r="M222" s="2"/>
      <c r="N222" s="2" t="s">
        <v>18</v>
      </c>
    </row>
    <row r="223" spans="1:14" ht="15.75" customHeight="1" x14ac:dyDescent="0.35">
      <c r="A223" s="2" t="s">
        <v>456</v>
      </c>
      <c r="B223" s="2" t="str" cm="1">
        <f t="array" ref="B223">_xlfn.IFS(AND(LEN('Special Help Table'!$A223)-(LEN(SUBSTITUTE('Special Help Table'!$A223,";","")))=0,LEN('Special Help Table'!$A223)-LEN(SUBSTITUTE('Special Help Table'!$A223,",",""))=1,LEN('Special Help Table'!$A223)-LEN(SUBSTITUTE('Special Help Table'!$A223,"and ",""))=0),MID('Special Help Table'!$A223&amp;" "&amp;'Special Help Table'!$A223,SEARCH(", ",'Special Help Table'!$A223)+1,LEN('Special Help Table'!$A223)),AND(LEN('Special Help Table'!$A223)-(LEN(SUBSTITUTE('Special Help Table'!$A223,";","")))=1,LEN('Special Help Table'!$A223)-LEN(SUBSTITUTE('Special Help Table'!$A223,"and ",""))=0),MID('Special Help Table'!$A223,SEARCH(",",'Special Help Table'!$A223)+1,(SEARCH(";",'Special Help Table'!$A223)-1)-SEARCH(",",'Special Help Table'!$A223))&amp;" "&amp;LEFT('Special Help Table'!$A223,SEARCH(",",'Special Help Table'!$A223)-1)&amp;";"&amp;RIGHT('Special Help Table'!$A223,LEN('Special Help Table'!$A223)-SEARCH(",",'Special Help Table'!$A223,SEARCH(";",'Special Help Table'!$A223)))&amp;" "&amp;MID('Special Help Table'!$A223,SEARCH("; ",'Special Help Table'!$A223)+2,SEARCH(",",'Special Help Table'!$A223,SEARCH(";",'Special Help Table'!$A223))-SEARCH(";",'Special Help Table'!$A223)-2),AND(LEN('Special Help Table'!$A223)-LEN(SUBSTITUTE('Special Help Table'!$A223,"and ",""))=0,LEN('Special Help Table'!$A223)-LEN(SUBSTITUTE('Special Help Table'!$A223,";",""))=0),'Special Help Table'!$A223,AND(LEN('Special Help Table'!$A223)-LEN(SUBSTITUTE('Special Help Table'!$A223,",","")=1),LEN('Special Help Table'!$A223)-LEN(SUBSTITUTE('Special Help Table'!$A223," ","")=20),LEN('Special Help Table'!$A223)-LEN(SUBSTITUTE('Special Help Table'!$A223," and",""))=0,LEN('Special Help Table'!$A223)-LEN(SUBSTITUTE('Special Help Table'!$A223,",","",FIND(" ",'Special Help Table'!$A223)+1))=0),RIGHT('Special Help Table'!$A223,LEN('Special Help Table'!$A223)-FIND(", ",'Special Help Table'!$A223))&amp;" "&amp;LEFT('Special Help Table'!$A223,FIND(",",'Special Help Table'!$A223)-1),AND(LEN('Special Help Table'!$A223)-LEN(SUBSTITUTE('Special Help Table'!$A223,"editor",""))=6,LEN('Special Help Table'!$A223)-LEN(SUBSTITUTE('Special Help Table'!$A223,"(",""))=0,LEN('Special Help Table'!$A223)-LEN(SUBSTITUTE('Special Help Table'!$A223,"and",""))=3,LEN('Special Help Table'!$A223)-LEN(SUBSTITUTE('Special Help Table'!$A223,",",""))=1,LEN('Special Help Table'!$A223)-LEN(SUBSTITUTE('Special Help Table'!$A223," ",""))=3),'Special Help Table'!$A223)</f>
        <v>Ferguson Sinclair B.</v>
      </c>
      <c r="C223" s="4" t="s">
        <v>467</v>
      </c>
      <c r="D223" s="2"/>
      <c r="E223" s="2" t="s">
        <v>16</v>
      </c>
      <c r="F223" s="2" t="s">
        <v>72</v>
      </c>
      <c r="G223" s="2"/>
      <c r="H223" s="2"/>
      <c r="I223" s="2"/>
      <c r="J223" s="2"/>
      <c r="K223" s="3">
        <v>40034</v>
      </c>
      <c r="L223" s="2"/>
      <c r="M223" s="2"/>
      <c r="N223" s="2" t="s">
        <v>18</v>
      </c>
    </row>
    <row r="224" spans="1:14" ht="15.75" customHeight="1" x14ac:dyDescent="0.35">
      <c r="A224" s="2" t="s">
        <v>456</v>
      </c>
      <c r="B224" s="2" t="str" cm="1">
        <f t="array" ref="B224">_xlfn.IFS(AND(LEN('Special Help Table'!$A224)-(LEN(SUBSTITUTE('Special Help Table'!$A224,";","")))=0,LEN('Special Help Table'!$A224)-LEN(SUBSTITUTE('Special Help Table'!$A224,",",""))=1,LEN('Special Help Table'!$A224)-LEN(SUBSTITUTE('Special Help Table'!$A224,"and ",""))=0),MID('Special Help Table'!$A224&amp;" "&amp;'Special Help Table'!$A224,SEARCH(", ",'Special Help Table'!$A224)+1,LEN('Special Help Table'!$A224)),AND(LEN('Special Help Table'!$A224)-(LEN(SUBSTITUTE('Special Help Table'!$A224,";","")))=1,LEN('Special Help Table'!$A224)-LEN(SUBSTITUTE('Special Help Table'!$A224,"and ",""))=0),MID('Special Help Table'!$A224,SEARCH(",",'Special Help Table'!$A224)+1,(SEARCH(";",'Special Help Table'!$A224)-1)-SEARCH(",",'Special Help Table'!$A224))&amp;" "&amp;LEFT('Special Help Table'!$A224,SEARCH(",",'Special Help Table'!$A224)-1)&amp;";"&amp;RIGHT('Special Help Table'!$A224,LEN('Special Help Table'!$A224)-SEARCH(",",'Special Help Table'!$A224,SEARCH(";",'Special Help Table'!$A224)))&amp;" "&amp;MID('Special Help Table'!$A224,SEARCH("; ",'Special Help Table'!$A224)+2,SEARCH(",",'Special Help Table'!$A224,SEARCH(";",'Special Help Table'!$A224))-SEARCH(";",'Special Help Table'!$A224)-2),AND(LEN('Special Help Table'!$A224)-LEN(SUBSTITUTE('Special Help Table'!$A224,"and ",""))=0,LEN('Special Help Table'!$A224)-LEN(SUBSTITUTE('Special Help Table'!$A224,";",""))=0),'Special Help Table'!$A224,AND(LEN('Special Help Table'!$A224)-LEN(SUBSTITUTE('Special Help Table'!$A224,",","")=1),LEN('Special Help Table'!$A224)-LEN(SUBSTITUTE('Special Help Table'!$A224," ","")=20),LEN('Special Help Table'!$A224)-LEN(SUBSTITUTE('Special Help Table'!$A224," and",""))=0,LEN('Special Help Table'!$A224)-LEN(SUBSTITUTE('Special Help Table'!$A224,",","",FIND(" ",'Special Help Table'!$A224)+1))=0),RIGHT('Special Help Table'!$A224,LEN('Special Help Table'!$A224)-FIND(", ",'Special Help Table'!$A224))&amp;" "&amp;LEFT('Special Help Table'!$A224,FIND(",",'Special Help Table'!$A224)-1),AND(LEN('Special Help Table'!$A224)-LEN(SUBSTITUTE('Special Help Table'!$A224,"editor",""))=6,LEN('Special Help Table'!$A224)-LEN(SUBSTITUTE('Special Help Table'!$A224,"(",""))=0,LEN('Special Help Table'!$A224)-LEN(SUBSTITUTE('Special Help Table'!$A224,"and",""))=3,LEN('Special Help Table'!$A224)-LEN(SUBSTITUTE('Special Help Table'!$A224,",",""))=1,LEN('Special Help Table'!$A224)-LEN(SUBSTITUTE('Special Help Table'!$A224," ",""))=3),'Special Help Table'!$A224)</f>
        <v>Ferguson Sinclair B.</v>
      </c>
      <c r="C224" s="4" t="s">
        <v>468</v>
      </c>
      <c r="D224" s="2"/>
      <c r="E224" s="2" t="s">
        <v>16</v>
      </c>
      <c r="F224" s="2" t="s">
        <v>72</v>
      </c>
      <c r="G224" s="2"/>
      <c r="H224" s="2"/>
      <c r="I224" s="2"/>
      <c r="J224" s="2"/>
      <c r="K224" s="3">
        <v>40034</v>
      </c>
      <c r="L224" s="2"/>
      <c r="M224" s="2"/>
      <c r="N224" s="2" t="s">
        <v>18</v>
      </c>
    </row>
    <row r="225" spans="1:14" ht="15.75" customHeight="1" x14ac:dyDescent="0.35">
      <c r="A225" s="2" t="s">
        <v>456</v>
      </c>
      <c r="B225" s="2" t="str" cm="1">
        <f t="array" ref="B225">_xlfn.IFS(AND(LEN('Special Help Table'!$A225)-(LEN(SUBSTITUTE('Special Help Table'!$A225,";","")))=0,LEN('Special Help Table'!$A225)-LEN(SUBSTITUTE('Special Help Table'!$A225,",",""))=1,LEN('Special Help Table'!$A225)-LEN(SUBSTITUTE('Special Help Table'!$A225,"and ",""))=0),MID('Special Help Table'!$A225&amp;" "&amp;'Special Help Table'!$A225,SEARCH(", ",'Special Help Table'!$A225)+1,LEN('Special Help Table'!$A225)),AND(LEN('Special Help Table'!$A225)-(LEN(SUBSTITUTE('Special Help Table'!$A225,";","")))=1,LEN('Special Help Table'!$A225)-LEN(SUBSTITUTE('Special Help Table'!$A225,"and ",""))=0),MID('Special Help Table'!$A225,SEARCH(",",'Special Help Table'!$A225)+1,(SEARCH(";",'Special Help Table'!$A225)-1)-SEARCH(",",'Special Help Table'!$A225))&amp;" "&amp;LEFT('Special Help Table'!$A225,SEARCH(",",'Special Help Table'!$A225)-1)&amp;";"&amp;RIGHT('Special Help Table'!$A225,LEN('Special Help Table'!$A225)-SEARCH(",",'Special Help Table'!$A225,SEARCH(";",'Special Help Table'!$A225)))&amp;" "&amp;MID('Special Help Table'!$A225,SEARCH("; ",'Special Help Table'!$A225)+2,SEARCH(",",'Special Help Table'!$A225,SEARCH(";",'Special Help Table'!$A225))-SEARCH(";",'Special Help Table'!$A225)-2),AND(LEN('Special Help Table'!$A225)-LEN(SUBSTITUTE('Special Help Table'!$A225,"and ",""))=0,LEN('Special Help Table'!$A225)-LEN(SUBSTITUTE('Special Help Table'!$A225,";",""))=0),'Special Help Table'!$A225,AND(LEN('Special Help Table'!$A225)-LEN(SUBSTITUTE('Special Help Table'!$A225,",","")=1),LEN('Special Help Table'!$A225)-LEN(SUBSTITUTE('Special Help Table'!$A225," ","")=20),LEN('Special Help Table'!$A225)-LEN(SUBSTITUTE('Special Help Table'!$A225," and",""))=0,LEN('Special Help Table'!$A225)-LEN(SUBSTITUTE('Special Help Table'!$A225,",","",FIND(" ",'Special Help Table'!$A225)+1))=0),RIGHT('Special Help Table'!$A225,LEN('Special Help Table'!$A225)-FIND(", ",'Special Help Table'!$A225))&amp;" "&amp;LEFT('Special Help Table'!$A225,FIND(",",'Special Help Table'!$A225)-1),AND(LEN('Special Help Table'!$A225)-LEN(SUBSTITUTE('Special Help Table'!$A225,"editor",""))=6,LEN('Special Help Table'!$A225)-LEN(SUBSTITUTE('Special Help Table'!$A225,"(",""))=0,LEN('Special Help Table'!$A225)-LEN(SUBSTITUTE('Special Help Table'!$A225,"and",""))=3,LEN('Special Help Table'!$A225)-LEN(SUBSTITUTE('Special Help Table'!$A225,",",""))=1,LEN('Special Help Table'!$A225)-LEN(SUBSTITUTE('Special Help Table'!$A225," ",""))=3),'Special Help Table'!$A225)</f>
        <v>Ferguson Sinclair B.</v>
      </c>
      <c r="C225" s="4" t="s">
        <v>469</v>
      </c>
      <c r="D225" s="2"/>
      <c r="E225" s="2" t="s">
        <v>16</v>
      </c>
      <c r="F225" s="2" t="s">
        <v>36</v>
      </c>
      <c r="G225" s="2"/>
      <c r="H225" s="2"/>
      <c r="I225" s="2"/>
      <c r="J225" s="2"/>
      <c r="K225" s="3">
        <v>43818</v>
      </c>
      <c r="L225" s="2"/>
      <c r="M225" s="2"/>
      <c r="N225" s="2" t="s">
        <v>18</v>
      </c>
    </row>
    <row r="226" spans="1:14" ht="15.75" customHeight="1" x14ac:dyDescent="0.35">
      <c r="A226" s="2" t="s">
        <v>456</v>
      </c>
      <c r="B226" s="2" t="str" cm="1">
        <f t="array" ref="B226">_xlfn.IFS(AND(LEN('Special Help Table'!$A226)-(LEN(SUBSTITUTE('Special Help Table'!$A226,";","")))=0,LEN('Special Help Table'!$A226)-LEN(SUBSTITUTE('Special Help Table'!$A226,",",""))=1,LEN('Special Help Table'!$A226)-LEN(SUBSTITUTE('Special Help Table'!$A226,"and ",""))=0),MID('Special Help Table'!$A226&amp;" "&amp;'Special Help Table'!$A226,SEARCH(", ",'Special Help Table'!$A226)+1,LEN('Special Help Table'!$A226)),AND(LEN('Special Help Table'!$A226)-(LEN(SUBSTITUTE('Special Help Table'!$A226,";","")))=1,LEN('Special Help Table'!$A226)-LEN(SUBSTITUTE('Special Help Table'!$A226,"and ",""))=0),MID('Special Help Table'!$A226,SEARCH(",",'Special Help Table'!$A226)+1,(SEARCH(";",'Special Help Table'!$A226)-1)-SEARCH(",",'Special Help Table'!$A226))&amp;" "&amp;LEFT('Special Help Table'!$A226,SEARCH(",",'Special Help Table'!$A226)-1)&amp;";"&amp;RIGHT('Special Help Table'!$A226,LEN('Special Help Table'!$A226)-SEARCH(",",'Special Help Table'!$A226,SEARCH(";",'Special Help Table'!$A226)))&amp;" "&amp;MID('Special Help Table'!$A226,SEARCH("; ",'Special Help Table'!$A226)+2,SEARCH(",",'Special Help Table'!$A226,SEARCH(";",'Special Help Table'!$A226))-SEARCH(";",'Special Help Table'!$A226)-2),AND(LEN('Special Help Table'!$A226)-LEN(SUBSTITUTE('Special Help Table'!$A226,"and ",""))=0,LEN('Special Help Table'!$A226)-LEN(SUBSTITUTE('Special Help Table'!$A226,";",""))=0),'Special Help Table'!$A226,AND(LEN('Special Help Table'!$A226)-LEN(SUBSTITUTE('Special Help Table'!$A226,",","")=1),LEN('Special Help Table'!$A226)-LEN(SUBSTITUTE('Special Help Table'!$A226," ","")=20),LEN('Special Help Table'!$A226)-LEN(SUBSTITUTE('Special Help Table'!$A226," and",""))=0,LEN('Special Help Table'!$A226)-LEN(SUBSTITUTE('Special Help Table'!$A226,",","",FIND(" ",'Special Help Table'!$A226)+1))=0),RIGHT('Special Help Table'!$A226,LEN('Special Help Table'!$A226)-FIND(", ",'Special Help Table'!$A226))&amp;" "&amp;LEFT('Special Help Table'!$A226,FIND(",",'Special Help Table'!$A226)-1),AND(LEN('Special Help Table'!$A226)-LEN(SUBSTITUTE('Special Help Table'!$A226,"editor",""))=6,LEN('Special Help Table'!$A226)-LEN(SUBSTITUTE('Special Help Table'!$A226,"(",""))=0,LEN('Special Help Table'!$A226)-LEN(SUBSTITUTE('Special Help Table'!$A226,"and",""))=3,LEN('Special Help Table'!$A226)-LEN(SUBSTITUTE('Special Help Table'!$A226,",",""))=1,LEN('Special Help Table'!$A226)-LEN(SUBSTITUTE('Special Help Table'!$A226," ",""))=3),'Special Help Table'!$A226)</f>
        <v>Ferguson Sinclair B.</v>
      </c>
      <c r="C226" s="4" t="s">
        <v>470</v>
      </c>
      <c r="D226" s="2"/>
      <c r="E226" s="2" t="s">
        <v>471</v>
      </c>
      <c r="F226" s="2" t="s">
        <v>72</v>
      </c>
      <c r="G226" s="2"/>
      <c r="H226" s="2"/>
      <c r="I226" s="2"/>
      <c r="J226" s="2"/>
      <c r="K226" s="3">
        <v>42693</v>
      </c>
      <c r="L226" s="2"/>
      <c r="M226" s="2"/>
      <c r="N226" s="2" t="s">
        <v>18</v>
      </c>
    </row>
    <row r="227" spans="1:14" ht="15.75" customHeight="1" x14ac:dyDescent="0.35">
      <c r="A227" s="2" t="s">
        <v>472</v>
      </c>
      <c r="B227" s="2" t="str" cm="1">
        <f t="array" ref="B227">_xlfn.IFS(AND(LEN('Special Help Table'!$A227)-(LEN(SUBSTITUTE('Special Help Table'!$A227,";","")))=0,LEN('Special Help Table'!$A227)-LEN(SUBSTITUTE('Special Help Table'!$A227,",",""))=1,LEN('Special Help Table'!$A227)-LEN(SUBSTITUTE('Special Help Table'!$A227,"and ",""))=0),MID('Special Help Table'!$A227&amp;" "&amp;'Special Help Table'!$A227,SEARCH(", ",'Special Help Table'!$A227)+1,LEN('Special Help Table'!$A227)),AND(LEN('Special Help Table'!$A227)-(LEN(SUBSTITUTE('Special Help Table'!$A227,";","")))=1,LEN('Special Help Table'!$A227)-LEN(SUBSTITUTE('Special Help Table'!$A227,"and ",""))=0),MID('Special Help Table'!$A227,SEARCH(",",'Special Help Table'!$A227)+1,(SEARCH(";",'Special Help Table'!$A227)-1)-SEARCH(",",'Special Help Table'!$A227))&amp;" "&amp;LEFT('Special Help Table'!$A227,SEARCH(",",'Special Help Table'!$A227)-1)&amp;";"&amp;RIGHT('Special Help Table'!$A227,LEN('Special Help Table'!$A227)-SEARCH(",",'Special Help Table'!$A227,SEARCH(";",'Special Help Table'!$A227)))&amp;" "&amp;MID('Special Help Table'!$A227,SEARCH("; ",'Special Help Table'!$A227)+2,SEARCH(",",'Special Help Table'!$A227,SEARCH(";",'Special Help Table'!$A227))-SEARCH(";",'Special Help Table'!$A227)-2),AND(LEN('Special Help Table'!$A227)-LEN(SUBSTITUTE('Special Help Table'!$A227,"and ",""))=0,LEN('Special Help Table'!$A227)-LEN(SUBSTITUTE('Special Help Table'!$A227,";",""))=0),'Special Help Table'!$A227,AND(LEN('Special Help Table'!$A227)-LEN(SUBSTITUTE('Special Help Table'!$A227,",","")=1),LEN('Special Help Table'!$A227)-LEN(SUBSTITUTE('Special Help Table'!$A227," ","")=20),LEN('Special Help Table'!$A227)-LEN(SUBSTITUTE('Special Help Table'!$A227," and",""))=0,LEN('Special Help Table'!$A227)-LEN(SUBSTITUTE('Special Help Table'!$A227,",","",FIND(" ",'Special Help Table'!$A227)+1))=0),RIGHT('Special Help Table'!$A227,LEN('Special Help Table'!$A227)-FIND(", ",'Special Help Table'!$A227))&amp;" "&amp;LEFT('Special Help Table'!$A227,FIND(",",'Special Help Table'!$A227)-1),AND(LEN('Special Help Table'!$A227)-LEN(SUBSTITUTE('Special Help Table'!$A227,"editor",""))=6,LEN('Special Help Table'!$A227)-LEN(SUBSTITUTE('Special Help Table'!$A227,"(",""))=0,LEN('Special Help Table'!$A227)-LEN(SUBSTITUTE('Special Help Table'!$A227,"and",""))=3,LEN('Special Help Table'!$A227)-LEN(SUBSTITUTE('Special Help Table'!$A227,",",""))=1,LEN('Special Help Table'!$A227)-LEN(SUBSTITUTE('Special Help Table'!$A227," ",""))=3),'Special Help Table'!$A227)</f>
        <v xml:space="preserve"> Sinclair B Ferguson</v>
      </c>
      <c r="C227" s="4" t="s">
        <v>473</v>
      </c>
      <c r="D227" s="2"/>
      <c r="E227" s="2" t="s">
        <v>16</v>
      </c>
      <c r="F227" s="2" t="s">
        <v>36</v>
      </c>
      <c r="G227" s="2"/>
      <c r="H227" s="2"/>
      <c r="I227" s="2"/>
      <c r="J227" s="2"/>
      <c r="K227" s="3"/>
      <c r="L227" s="2"/>
      <c r="M227" s="2"/>
      <c r="N227" s="2" t="s">
        <v>18</v>
      </c>
    </row>
    <row r="228" spans="1:14" ht="15.75" customHeight="1" x14ac:dyDescent="0.35">
      <c r="A228" s="2" t="s">
        <v>474</v>
      </c>
      <c r="B228" s="2" t="str" cm="1">
        <f t="array" ref="B228">_xlfn.IFS(AND(LEN('Special Help Table'!$A228)-(LEN(SUBSTITUTE('Special Help Table'!$A228,";","")))=0,LEN('Special Help Table'!$A228)-LEN(SUBSTITUTE('Special Help Table'!$A228,",",""))=1,LEN('Special Help Table'!$A228)-LEN(SUBSTITUTE('Special Help Table'!$A228,"and ",""))=0),MID('Special Help Table'!$A228&amp;" "&amp;'Special Help Table'!$A228,SEARCH(", ",'Special Help Table'!$A228)+1,LEN('Special Help Table'!$A228)),AND(LEN('Special Help Table'!$A228)-(LEN(SUBSTITUTE('Special Help Table'!$A228,";","")))=1,LEN('Special Help Table'!$A228)-LEN(SUBSTITUTE('Special Help Table'!$A228,"and ",""))=0),MID('Special Help Table'!$A228,SEARCH(",",'Special Help Table'!$A228)+1,(SEARCH(";",'Special Help Table'!$A228)-1)-SEARCH(",",'Special Help Table'!$A228))&amp;" "&amp;LEFT('Special Help Table'!$A228,SEARCH(",",'Special Help Table'!$A228)-1)&amp;";"&amp;RIGHT('Special Help Table'!$A228,LEN('Special Help Table'!$A228)-SEARCH(",",'Special Help Table'!$A228,SEARCH(";",'Special Help Table'!$A228)))&amp;" "&amp;MID('Special Help Table'!$A228,SEARCH("; ",'Special Help Table'!$A228)+2,SEARCH(",",'Special Help Table'!$A228,SEARCH(";",'Special Help Table'!$A228))-SEARCH(";",'Special Help Table'!$A228)-2),AND(LEN('Special Help Table'!$A228)-LEN(SUBSTITUTE('Special Help Table'!$A228,"and ",""))=0,LEN('Special Help Table'!$A228)-LEN(SUBSTITUTE('Special Help Table'!$A228,";",""))=0),'Special Help Table'!$A228,AND(LEN('Special Help Table'!$A228)-LEN(SUBSTITUTE('Special Help Table'!$A228,",","")=1),LEN('Special Help Table'!$A228)-LEN(SUBSTITUTE('Special Help Table'!$A228," ","")=20),LEN('Special Help Table'!$A228)-LEN(SUBSTITUTE('Special Help Table'!$A228," and",""))=0,LEN('Special Help Table'!$A228)-LEN(SUBSTITUTE('Special Help Table'!$A228,",","",FIND(" ",'Special Help Table'!$A228)+1))=0),RIGHT('Special Help Table'!$A228,LEN('Special Help Table'!$A228)-FIND(", ",'Special Help Table'!$A228))&amp;" "&amp;LEFT('Special Help Table'!$A228,FIND(",",'Special Help Table'!$A228)-1),AND(LEN('Special Help Table'!$A228)-LEN(SUBSTITUTE('Special Help Table'!$A228,"editor",""))=6,LEN('Special Help Table'!$A228)-LEN(SUBSTITUTE('Special Help Table'!$A228,"(",""))=0,LEN('Special Help Table'!$A228)-LEN(SUBSTITUTE('Special Help Table'!$A228,"and",""))=3,LEN('Special Help Table'!$A228)-LEN(SUBSTITUTE('Special Help Table'!$A228,",",""))=1,LEN('Special Help Table'!$A228)-LEN(SUBSTITUTE('Special Help Table'!$A228," ",""))=3),'Special Help Table'!$A228)</f>
        <v xml:space="preserve"> Sinclair B. Ferguson</v>
      </c>
      <c r="C228" s="4" t="s">
        <v>475</v>
      </c>
      <c r="D228" s="2"/>
      <c r="E228" s="2" t="s">
        <v>16</v>
      </c>
      <c r="F228" s="2" t="s">
        <v>72</v>
      </c>
      <c r="G228" s="2"/>
      <c r="H228" s="2"/>
      <c r="I228" s="2"/>
      <c r="J228" s="2"/>
      <c r="K228" s="3">
        <v>42705</v>
      </c>
      <c r="L228" s="2"/>
      <c r="M228" s="2"/>
      <c r="N228" s="2" t="s">
        <v>18</v>
      </c>
    </row>
    <row r="229" spans="1:14" ht="15.75" customHeight="1" x14ac:dyDescent="0.35">
      <c r="A229" s="2" t="s">
        <v>474</v>
      </c>
      <c r="B229" s="2" t="str" cm="1">
        <f t="array" ref="B229">_xlfn.IFS(AND(LEN('Special Help Table'!$A229)-(LEN(SUBSTITUTE('Special Help Table'!$A229,";","")))=0,LEN('Special Help Table'!$A229)-LEN(SUBSTITUTE('Special Help Table'!$A229,",",""))=1,LEN('Special Help Table'!$A229)-LEN(SUBSTITUTE('Special Help Table'!$A229,"and ",""))=0),MID('Special Help Table'!$A229&amp;" "&amp;'Special Help Table'!$A229,SEARCH(", ",'Special Help Table'!$A229)+1,LEN('Special Help Table'!$A229)),AND(LEN('Special Help Table'!$A229)-(LEN(SUBSTITUTE('Special Help Table'!$A229,";","")))=1,LEN('Special Help Table'!$A229)-LEN(SUBSTITUTE('Special Help Table'!$A229,"and ",""))=0),MID('Special Help Table'!$A229,SEARCH(",",'Special Help Table'!$A229)+1,(SEARCH(";",'Special Help Table'!$A229)-1)-SEARCH(",",'Special Help Table'!$A229))&amp;" "&amp;LEFT('Special Help Table'!$A229,SEARCH(",",'Special Help Table'!$A229)-1)&amp;";"&amp;RIGHT('Special Help Table'!$A229,LEN('Special Help Table'!$A229)-SEARCH(",",'Special Help Table'!$A229,SEARCH(";",'Special Help Table'!$A229)))&amp;" "&amp;MID('Special Help Table'!$A229,SEARCH("; ",'Special Help Table'!$A229)+2,SEARCH(",",'Special Help Table'!$A229,SEARCH(";",'Special Help Table'!$A229))-SEARCH(";",'Special Help Table'!$A229)-2),AND(LEN('Special Help Table'!$A229)-LEN(SUBSTITUTE('Special Help Table'!$A229,"and ",""))=0,LEN('Special Help Table'!$A229)-LEN(SUBSTITUTE('Special Help Table'!$A229,";",""))=0),'Special Help Table'!$A229,AND(LEN('Special Help Table'!$A229)-LEN(SUBSTITUTE('Special Help Table'!$A229,",","")=1),LEN('Special Help Table'!$A229)-LEN(SUBSTITUTE('Special Help Table'!$A229," ","")=20),LEN('Special Help Table'!$A229)-LEN(SUBSTITUTE('Special Help Table'!$A229," and",""))=0,LEN('Special Help Table'!$A229)-LEN(SUBSTITUTE('Special Help Table'!$A229,",","",FIND(" ",'Special Help Table'!$A229)+1))=0),RIGHT('Special Help Table'!$A229,LEN('Special Help Table'!$A229)-FIND(", ",'Special Help Table'!$A229))&amp;" "&amp;LEFT('Special Help Table'!$A229,FIND(",",'Special Help Table'!$A229)-1),AND(LEN('Special Help Table'!$A229)-LEN(SUBSTITUTE('Special Help Table'!$A229,"editor",""))=6,LEN('Special Help Table'!$A229)-LEN(SUBSTITUTE('Special Help Table'!$A229,"(",""))=0,LEN('Special Help Table'!$A229)-LEN(SUBSTITUTE('Special Help Table'!$A229,"and",""))=3,LEN('Special Help Table'!$A229)-LEN(SUBSTITUTE('Special Help Table'!$A229,",",""))=1,LEN('Special Help Table'!$A229)-LEN(SUBSTITUTE('Special Help Table'!$A229," ",""))=3),'Special Help Table'!$A229)</f>
        <v xml:space="preserve"> Sinclair B. Ferguson</v>
      </c>
      <c r="C229" s="4" t="s">
        <v>476</v>
      </c>
      <c r="D229" s="2"/>
      <c r="E229" s="2" t="s">
        <v>16</v>
      </c>
      <c r="F229" s="2" t="s">
        <v>72</v>
      </c>
      <c r="G229" s="2"/>
      <c r="H229" s="2"/>
      <c r="I229" s="2"/>
      <c r="J229" s="2"/>
      <c r="K229" s="3">
        <v>42705</v>
      </c>
      <c r="L229" s="2"/>
      <c r="M229" s="2"/>
      <c r="N229" s="2" t="s">
        <v>18</v>
      </c>
    </row>
    <row r="230" spans="1:14" ht="15.75" customHeight="1" x14ac:dyDescent="0.35">
      <c r="A230" s="2" t="s">
        <v>474</v>
      </c>
      <c r="B230" s="2" t="str" cm="1">
        <f t="array" ref="B230">_xlfn.IFS(AND(LEN('Special Help Table'!$A230)-(LEN(SUBSTITUTE('Special Help Table'!$A230,";","")))=0,LEN('Special Help Table'!$A230)-LEN(SUBSTITUTE('Special Help Table'!$A230,",",""))=1,LEN('Special Help Table'!$A230)-LEN(SUBSTITUTE('Special Help Table'!$A230,"and ",""))=0),MID('Special Help Table'!$A230&amp;" "&amp;'Special Help Table'!$A230,SEARCH(", ",'Special Help Table'!$A230)+1,LEN('Special Help Table'!$A230)),AND(LEN('Special Help Table'!$A230)-(LEN(SUBSTITUTE('Special Help Table'!$A230,";","")))=1,LEN('Special Help Table'!$A230)-LEN(SUBSTITUTE('Special Help Table'!$A230,"and ",""))=0),MID('Special Help Table'!$A230,SEARCH(",",'Special Help Table'!$A230)+1,(SEARCH(";",'Special Help Table'!$A230)-1)-SEARCH(",",'Special Help Table'!$A230))&amp;" "&amp;LEFT('Special Help Table'!$A230,SEARCH(",",'Special Help Table'!$A230)-1)&amp;";"&amp;RIGHT('Special Help Table'!$A230,LEN('Special Help Table'!$A230)-SEARCH(",",'Special Help Table'!$A230,SEARCH(";",'Special Help Table'!$A230)))&amp;" "&amp;MID('Special Help Table'!$A230,SEARCH("; ",'Special Help Table'!$A230)+2,SEARCH(",",'Special Help Table'!$A230,SEARCH(";",'Special Help Table'!$A230))-SEARCH(";",'Special Help Table'!$A230)-2),AND(LEN('Special Help Table'!$A230)-LEN(SUBSTITUTE('Special Help Table'!$A230,"and ",""))=0,LEN('Special Help Table'!$A230)-LEN(SUBSTITUTE('Special Help Table'!$A230,";",""))=0),'Special Help Table'!$A230,AND(LEN('Special Help Table'!$A230)-LEN(SUBSTITUTE('Special Help Table'!$A230,",","")=1),LEN('Special Help Table'!$A230)-LEN(SUBSTITUTE('Special Help Table'!$A230," ","")=20),LEN('Special Help Table'!$A230)-LEN(SUBSTITUTE('Special Help Table'!$A230," and",""))=0,LEN('Special Help Table'!$A230)-LEN(SUBSTITUTE('Special Help Table'!$A230,",","",FIND(" ",'Special Help Table'!$A230)+1))=0),RIGHT('Special Help Table'!$A230,LEN('Special Help Table'!$A230)-FIND(", ",'Special Help Table'!$A230))&amp;" "&amp;LEFT('Special Help Table'!$A230,FIND(",",'Special Help Table'!$A230)-1),AND(LEN('Special Help Table'!$A230)-LEN(SUBSTITUTE('Special Help Table'!$A230,"editor",""))=6,LEN('Special Help Table'!$A230)-LEN(SUBSTITUTE('Special Help Table'!$A230,"(",""))=0,LEN('Special Help Table'!$A230)-LEN(SUBSTITUTE('Special Help Table'!$A230,"and",""))=3,LEN('Special Help Table'!$A230)-LEN(SUBSTITUTE('Special Help Table'!$A230,",",""))=1,LEN('Special Help Table'!$A230)-LEN(SUBSTITUTE('Special Help Table'!$A230," ",""))=3),'Special Help Table'!$A230)</f>
        <v xml:space="preserve"> Sinclair B. Ferguson</v>
      </c>
      <c r="C230" s="4" t="s">
        <v>477</v>
      </c>
      <c r="D230" s="2"/>
      <c r="E230" s="2" t="s">
        <v>16</v>
      </c>
      <c r="F230" s="2" t="s">
        <v>72</v>
      </c>
      <c r="G230" s="2"/>
      <c r="H230" s="2"/>
      <c r="I230" s="2"/>
      <c r="J230" s="2"/>
      <c r="K230" s="3">
        <v>42705</v>
      </c>
      <c r="L230" s="2"/>
      <c r="M230" s="2"/>
      <c r="N230" s="2" t="s">
        <v>18</v>
      </c>
    </row>
    <row r="231" spans="1:14" ht="15.75" customHeight="1" x14ac:dyDescent="0.35">
      <c r="A231" s="2" t="s">
        <v>474</v>
      </c>
      <c r="B231" s="2" t="str" cm="1">
        <f t="array" ref="B231">_xlfn.IFS(AND(LEN('Special Help Table'!$A231)-(LEN(SUBSTITUTE('Special Help Table'!$A231,";","")))=0,LEN('Special Help Table'!$A231)-LEN(SUBSTITUTE('Special Help Table'!$A231,",",""))=1,LEN('Special Help Table'!$A231)-LEN(SUBSTITUTE('Special Help Table'!$A231,"and ",""))=0),MID('Special Help Table'!$A231&amp;" "&amp;'Special Help Table'!$A231,SEARCH(", ",'Special Help Table'!$A231)+1,LEN('Special Help Table'!$A231)),AND(LEN('Special Help Table'!$A231)-(LEN(SUBSTITUTE('Special Help Table'!$A231,";","")))=1,LEN('Special Help Table'!$A231)-LEN(SUBSTITUTE('Special Help Table'!$A231,"and ",""))=0),MID('Special Help Table'!$A231,SEARCH(",",'Special Help Table'!$A231)+1,(SEARCH(";",'Special Help Table'!$A231)-1)-SEARCH(",",'Special Help Table'!$A231))&amp;" "&amp;LEFT('Special Help Table'!$A231,SEARCH(",",'Special Help Table'!$A231)-1)&amp;";"&amp;RIGHT('Special Help Table'!$A231,LEN('Special Help Table'!$A231)-SEARCH(",",'Special Help Table'!$A231,SEARCH(";",'Special Help Table'!$A231)))&amp;" "&amp;MID('Special Help Table'!$A231,SEARCH("; ",'Special Help Table'!$A231)+2,SEARCH(",",'Special Help Table'!$A231,SEARCH(";",'Special Help Table'!$A231))-SEARCH(";",'Special Help Table'!$A231)-2),AND(LEN('Special Help Table'!$A231)-LEN(SUBSTITUTE('Special Help Table'!$A231,"and ",""))=0,LEN('Special Help Table'!$A231)-LEN(SUBSTITUTE('Special Help Table'!$A231,";",""))=0),'Special Help Table'!$A231,AND(LEN('Special Help Table'!$A231)-LEN(SUBSTITUTE('Special Help Table'!$A231,",","")=1),LEN('Special Help Table'!$A231)-LEN(SUBSTITUTE('Special Help Table'!$A231," ","")=20),LEN('Special Help Table'!$A231)-LEN(SUBSTITUTE('Special Help Table'!$A231," and",""))=0,LEN('Special Help Table'!$A231)-LEN(SUBSTITUTE('Special Help Table'!$A231,",","",FIND(" ",'Special Help Table'!$A231)+1))=0),RIGHT('Special Help Table'!$A231,LEN('Special Help Table'!$A231)-FIND(", ",'Special Help Table'!$A231))&amp;" "&amp;LEFT('Special Help Table'!$A231,FIND(",",'Special Help Table'!$A231)-1),AND(LEN('Special Help Table'!$A231)-LEN(SUBSTITUTE('Special Help Table'!$A231,"editor",""))=6,LEN('Special Help Table'!$A231)-LEN(SUBSTITUTE('Special Help Table'!$A231,"(",""))=0,LEN('Special Help Table'!$A231)-LEN(SUBSTITUTE('Special Help Table'!$A231,"and",""))=3,LEN('Special Help Table'!$A231)-LEN(SUBSTITUTE('Special Help Table'!$A231,",",""))=1,LEN('Special Help Table'!$A231)-LEN(SUBSTITUTE('Special Help Table'!$A231," ",""))=3),'Special Help Table'!$A231)</f>
        <v xml:space="preserve"> Sinclair B. Ferguson</v>
      </c>
      <c r="C231" s="4" t="s">
        <v>478</v>
      </c>
      <c r="D231" s="2"/>
      <c r="E231" s="2" t="s">
        <v>16</v>
      </c>
      <c r="F231" s="2" t="s">
        <v>33</v>
      </c>
      <c r="G231" s="2"/>
      <c r="H231" s="2"/>
      <c r="I231" s="2"/>
      <c r="J231" s="2" t="s">
        <v>233</v>
      </c>
      <c r="K231" s="3">
        <v>44178</v>
      </c>
      <c r="L231" s="2"/>
      <c r="M231" s="2"/>
      <c r="N231" s="2" t="s">
        <v>18</v>
      </c>
    </row>
    <row r="232" spans="1:14" ht="15.75" customHeight="1" x14ac:dyDescent="0.35">
      <c r="A232" s="2" t="s">
        <v>474</v>
      </c>
      <c r="B232" s="2" t="str" cm="1">
        <f t="array" ref="B232">_xlfn.IFS(AND(LEN('Special Help Table'!$A232)-(LEN(SUBSTITUTE('Special Help Table'!$A232,";","")))=0,LEN('Special Help Table'!$A232)-LEN(SUBSTITUTE('Special Help Table'!$A232,",",""))=1,LEN('Special Help Table'!$A232)-LEN(SUBSTITUTE('Special Help Table'!$A232,"and ",""))=0),MID('Special Help Table'!$A232&amp;" "&amp;'Special Help Table'!$A232,SEARCH(", ",'Special Help Table'!$A232)+1,LEN('Special Help Table'!$A232)),AND(LEN('Special Help Table'!$A232)-(LEN(SUBSTITUTE('Special Help Table'!$A232,";","")))=1,LEN('Special Help Table'!$A232)-LEN(SUBSTITUTE('Special Help Table'!$A232,"and ",""))=0),MID('Special Help Table'!$A232,SEARCH(",",'Special Help Table'!$A232)+1,(SEARCH(";",'Special Help Table'!$A232)-1)-SEARCH(",",'Special Help Table'!$A232))&amp;" "&amp;LEFT('Special Help Table'!$A232,SEARCH(",",'Special Help Table'!$A232)-1)&amp;";"&amp;RIGHT('Special Help Table'!$A232,LEN('Special Help Table'!$A232)-SEARCH(",",'Special Help Table'!$A232,SEARCH(";",'Special Help Table'!$A232)))&amp;" "&amp;MID('Special Help Table'!$A232,SEARCH("; ",'Special Help Table'!$A232)+2,SEARCH(",",'Special Help Table'!$A232,SEARCH(";",'Special Help Table'!$A232))-SEARCH(";",'Special Help Table'!$A232)-2),AND(LEN('Special Help Table'!$A232)-LEN(SUBSTITUTE('Special Help Table'!$A232,"and ",""))=0,LEN('Special Help Table'!$A232)-LEN(SUBSTITUTE('Special Help Table'!$A232,";",""))=0),'Special Help Table'!$A232,AND(LEN('Special Help Table'!$A232)-LEN(SUBSTITUTE('Special Help Table'!$A232,",","")=1),LEN('Special Help Table'!$A232)-LEN(SUBSTITUTE('Special Help Table'!$A232," ","")=20),LEN('Special Help Table'!$A232)-LEN(SUBSTITUTE('Special Help Table'!$A232," and",""))=0,LEN('Special Help Table'!$A232)-LEN(SUBSTITUTE('Special Help Table'!$A232,",","",FIND(" ",'Special Help Table'!$A232)+1))=0),RIGHT('Special Help Table'!$A232,LEN('Special Help Table'!$A232)-FIND(", ",'Special Help Table'!$A232))&amp;" "&amp;LEFT('Special Help Table'!$A232,FIND(",",'Special Help Table'!$A232)-1),AND(LEN('Special Help Table'!$A232)-LEN(SUBSTITUTE('Special Help Table'!$A232,"editor",""))=6,LEN('Special Help Table'!$A232)-LEN(SUBSTITUTE('Special Help Table'!$A232,"(",""))=0,LEN('Special Help Table'!$A232)-LEN(SUBSTITUTE('Special Help Table'!$A232,"and",""))=3,LEN('Special Help Table'!$A232)-LEN(SUBSTITUTE('Special Help Table'!$A232,",",""))=1,LEN('Special Help Table'!$A232)-LEN(SUBSTITUTE('Special Help Table'!$A232," ",""))=3),'Special Help Table'!$A232)</f>
        <v xml:space="preserve"> Sinclair B. Ferguson</v>
      </c>
      <c r="C232" s="4" t="s">
        <v>479</v>
      </c>
      <c r="D232" s="2"/>
      <c r="E232" s="2" t="s">
        <v>16</v>
      </c>
      <c r="F232" s="2" t="s">
        <v>76</v>
      </c>
      <c r="G232" s="2"/>
      <c r="H232" s="2"/>
      <c r="I232" s="2"/>
      <c r="J232" s="2"/>
      <c r="K232" s="3">
        <v>43815</v>
      </c>
      <c r="L232" s="2"/>
      <c r="M232" s="2"/>
      <c r="N232" s="2" t="s">
        <v>18</v>
      </c>
    </row>
    <row r="233" spans="1:14" ht="15.75" customHeight="1" x14ac:dyDescent="0.35">
      <c r="A233" s="2" t="s">
        <v>474</v>
      </c>
      <c r="B233" s="2" t="str" cm="1">
        <f t="array" ref="B233">_xlfn.IFS(AND(LEN('Special Help Table'!$A233)-(LEN(SUBSTITUTE('Special Help Table'!$A233,";","")))=0,LEN('Special Help Table'!$A233)-LEN(SUBSTITUTE('Special Help Table'!$A233,",",""))=1,LEN('Special Help Table'!$A233)-LEN(SUBSTITUTE('Special Help Table'!$A233,"and ",""))=0),MID('Special Help Table'!$A233&amp;" "&amp;'Special Help Table'!$A233,SEARCH(", ",'Special Help Table'!$A233)+1,LEN('Special Help Table'!$A233)),AND(LEN('Special Help Table'!$A233)-(LEN(SUBSTITUTE('Special Help Table'!$A233,";","")))=1,LEN('Special Help Table'!$A233)-LEN(SUBSTITUTE('Special Help Table'!$A233,"and ",""))=0),MID('Special Help Table'!$A233,SEARCH(",",'Special Help Table'!$A233)+1,(SEARCH(";",'Special Help Table'!$A233)-1)-SEARCH(",",'Special Help Table'!$A233))&amp;" "&amp;LEFT('Special Help Table'!$A233,SEARCH(",",'Special Help Table'!$A233)-1)&amp;";"&amp;RIGHT('Special Help Table'!$A233,LEN('Special Help Table'!$A233)-SEARCH(",",'Special Help Table'!$A233,SEARCH(";",'Special Help Table'!$A233)))&amp;" "&amp;MID('Special Help Table'!$A233,SEARCH("; ",'Special Help Table'!$A233)+2,SEARCH(",",'Special Help Table'!$A233,SEARCH(";",'Special Help Table'!$A233))-SEARCH(";",'Special Help Table'!$A233)-2),AND(LEN('Special Help Table'!$A233)-LEN(SUBSTITUTE('Special Help Table'!$A233,"and ",""))=0,LEN('Special Help Table'!$A233)-LEN(SUBSTITUTE('Special Help Table'!$A233,";",""))=0),'Special Help Table'!$A233,AND(LEN('Special Help Table'!$A233)-LEN(SUBSTITUTE('Special Help Table'!$A233,",","")=1),LEN('Special Help Table'!$A233)-LEN(SUBSTITUTE('Special Help Table'!$A233," ","")=20),LEN('Special Help Table'!$A233)-LEN(SUBSTITUTE('Special Help Table'!$A233," and",""))=0,LEN('Special Help Table'!$A233)-LEN(SUBSTITUTE('Special Help Table'!$A233,",","",FIND(" ",'Special Help Table'!$A233)+1))=0),RIGHT('Special Help Table'!$A233,LEN('Special Help Table'!$A233)-FIND(", ",'Special Help Table'!$A233))&amp;" "&amp;LEFT('Special Help Table'!$A233,FIND(",",'Special Help Table'!$A233)-1),AND(LEN('Special Help Table'!$A233)-LEN(SUBSTITUTE('Special Help Table'!$A233,"editor",""))=6,LEN('Special Help Table'!$A233)-LEN(SUBSTITUTE('Special Help Table'!$A233,"(",""))=0,LEN('Special Help Table'!$A233)-LEN(SUBSTITUTE('Special Help Table'!$A233,"and",""))=3,LEN('Special Help Table'!$A233)-LEN(SUBSTITUTE('Special Help Table'!$A233,",",""))=1,LEN('Special Help Table'!$A233)-LEN(SUBSTITUTE('Special Help Table'!$A233," ",""))=3),'Special Help Table'!$A233)</f>
        <v xml:space="preserve"> Sinclair B. Ferguson</v>
      </c>
      <c r="C233" s="4" t="s">
        <v>480</v>
      </c>
      <c r="D233" s="2"/>
      <c r="E233" s="2" t="s">
        <v>16</v>
      </c>
      <c r="F233" s="2" t="s">
        <v>28</v>
      </c>
      <c r="G233" s="2"/>
      <c r="H233" s="2"/>
      <c r="I233" s="2"/>
      <c r="J233" s="2" t="s">
        <v>154</v>
      </c>
      <c r="K233" s="3">
        <v>44178</v>
      </c>
      <c r="L233" s="2"/>
      <c r="M233" s="2"/>
      <c r="N233" s="2" t="s">
        <v>18</v>
      </c>
    </row>
    <row r="234" spans="1:14" ht="15.75" customHeight="1" x14ac:dyDescent="0.35">
      <c r="A234" s="2" t="s">
        <v>481</v>
      </c>
      <c r="B234" s="2" t="str" cm="1">
        <f t="array" ref="B234">_xlfn.IFS(AND(LEN('Special Help Table'!$A234)-(LEN(SUBSTITUTE('Special Help Table'!$A234,";","")))=0,LEN('Special Help Table'!$A234)-LEN(SUBSTITUTE('Special Help Table'!$A234,",",""))=1,LEN('Special Help Table'!$A234)-LEN(SUBSTITUTE('Special Help Table'!$A234,"and ",""))=0),MID('Special Help Table'!$A234&amp;" "&amp;'Special Help Table'!$A234,SEARCH(", ",'Special Help Table'!$A234)+1,LEN('Special Help Table'!$A234)),AND(LEN('Special Help Table'!$A234)-(LEN(SUBSTITUTE('Special Help Table'!$A234,";","")))=1,LEN('Special Help Table'!$A234)-LEN(SUBSTITUTE('Special Help Table'!$A234,"and ",""))=0),MID('Special Help Table'!$A234,SEARCH(",",'Special Help Table'!$A234)+1,(SEARCH(";",'Special Help Table'!$A234)-1)-SEARCH(",",'Special Help Table'!$A234))&amp;" "&amp;LEFT('Special Help Table'!$A234,SEARCH(",",'Special Help Table'!$A234)-1)&amp;";"&amp;RIGHT('Special Help Table'!$A234,LEN('Special Help Table'!$A234)-SEARCH(",",'Special Help Table'!$A234,SEARCH(";",'Special Help Table'!$A234)))&amp;" "&amp;MID('Special Help Table'!$A234,SEARCH("; ",'Special Help Table'!$A234)+2,SEARCH(",",'Special Help Table'!$A234,SEARCH(";",'Special Help Table'!$A234))-SEARCH(";",'Special Help Table'!$A234)-2),AND(LEN('Special Help Table'!$A234)-LEN(SUBSTITUTE('Special Help Table'!$A234,"and ",""))=0,LEN('Special Help Table'!$A234)-LEN(SUBSTITUTE('Special Help Table'!$A234,";",""))=0),'Special Help Table'!$A234,AND(LEN('Special Help Table'!$A234)-LEN(SUBSTITUTE('Special Help Table'!$A234,",","")=1),LEN('Special Help Table'!$A234)-LEN(SUBSTITUTE('Special Help Table'!$A234," ","")=20),LEN('Special Help Table'!$A234)-LEN(SUBSTITUTE('Special Help Table'!$A234," and",""))=0,LEN('Special Help Table'!$A234)-LEN(SUBSTITUTE('Special Help Table'!$A234,",","",FIND(" ",'Special Help Table'!$A234)+1))=0),RIGHT('Special Help Table'!$A234,LEN('Special Help Table'!$A234)-FIND(", ",'Special Help Table'!$A234))&amp;" "&amp;LEFT('Special Help Table'!$A234,FIND(",",'Special Help Table'!$A234)-1),AND(LEN('Special Help Table'!$A234)-LEN(SUBSTITUTE('Special Help Table'!$A234,"editor",""))=6,LEN('Special Help Table'!$A234)-LEN(SUBSTITUTE('Special Help Table'!$A234,"(",""))=0,LEN('Special Help Table'!$A234)-LEN(SUBSTITUTE('Special Help Table'!$A234,"and",""))=3,LEN('Special Help Table'!$A234)-LEN(SUBSTITUTE('Special Help Table'!$A234,",",""))=1,LEN('Special Help Table'!$A234)-LEN(SUBSTITUTE('Special Help Table'!$A234," ",""))=3),'Special Help Table'!$A234)</f>
        <v xml:space="preserve"> Miller Ferrie</v>
      </c>
      <c r="C234" s="4" t="s">
        <v>482</v>
      </c>
      <c r="D234" s="2"/>
      <c r="E234" s="2" t="s">
        <v>16</v>
      </c>
      <c r="F234" s="2" t="s">
        <v>39</v>
      </c>
      <c r="G234" s="2"/>
      <c r="H234" s="2"/>
      <c r="I234" s="2"/>
      <c r="J234" s="2"/>
      <c r="K234" s="3"/>
      <c r="L234" s="2"/>
      <c r="M234" s="2"/>
      <c r="N234" s="2" t="s">
        <v>18</v>
      </c>
    </row>
    <row r="235" spans="1:14" ht="15.75" customHeight="1" x14ac:dyDescent="0.35">
      <c r="A235" s="2" t="s">
        <v>481</v>
      </c>
      <c r="B235" s="2" t="str" cm="1">
        <f t="array" ref="B235">_xlfn.IFS(AND(LEN('Special Help Table'!$A235)-(LEN(SUBSTITUTE('Special Help Table'!$A235,";","")))=0,LEN('Special Help Table'!$A235)-LEN(SUBSTITUTE('Special Help Table'!$A235,",",""))=1,LEN('Special Help Table'!$A235)-LEN(SUBSTITUTE('Special Help Table'!$A235,"and ",""))=0),MID('Special Help Table'!$A235&amp;" "&amp;'Special Help Table'!$A235,SEARCH(", ",'Special Help Table'!$A235)+1,LEN('Special Help Table'!$A235)),AND(LEN('Special Help Table'!$A235)-(LEN(SUBSTITUTE('Special Help Table'!$A235,";","")))=1,LEN('Special Help Table'!$A235)-LEN(SUBSTITUTE('Special Help Table'!$A235,"and ",""))=0),MID('Special Help Table'!$A235,SEARCH(",",'Special Help Table'!$A235)+1,(SEARCH(";",'Special Help Table'!$A235)-1)-SEARCH(",",'Special Help Table'!$A235))&amp;" "&amp;LEFT('Special Help Table'!$A235,SEARCH(",",'Special Help Table'!$A235)-1)&amp;";"&amp;RIGHT('Special Help Table'!$A235,LEN('Special Help Table'!$A235)-SEARCH(",",'Special Help Table'!$A235,SEARCH(";",'Special Help Table'!$A235)))&amp;" "&amp;MID('Special Help Table'!$A235,SEARCH("; ",'Special Help Table'!$A235)+2,SEARCH(",",'Special Help Table'!$A235,SEARCH(";",'Special Help Table'!$A235))-SEARCH(";",'Special Help Table'!$A235)-2),AND(LEN('Special Help Table'!$A235)-LEN(SUBSTITUTE('Special Help Table'!$A235,"and ",""))=0,LEN('Special Help Table'!$A235)-LEN(SUBSTITUTE('Special Help Table'!$A235,";",""))=0),'Special Help Table'!$A235,AND(LEN('Special Help Table'!$A235)-LEN(SUBSTITUTE('Special Help Table'!$A235,",","")=1),LEN('Special Help Table'!$A235)-LEN(SUBSTITUTE('Special Help Table'!$A235," ","")=20),LEN('Special Help Table'!$A235)-LEN(SUBSTITUTE('Special Help Table'!$A235," and",""))=0,LEN('Special Help Table'!$A235)-LEN(SUBSTITUTE('Special Help Table'!$A235,",","",FIND(" ",'Special Help Table'!$A235)+1))=0),RIGHT('Special Help Table'!$A235,LEN('Special Help Table'!$A235)-FIND(", ",'Special Help Table'!$A235))&amp;" "&amp;LEFT('Special Help Table'!$A235,FIND(",",'Special Help Table'!$A235)-1),AND(LEN('Special Help Table'!$A235)-LEN(SUBSTITUTE('Special Help Table'!$A235,"editor",""))=6,LEN('Special Help Table'!$A235)-LEN(SUBSTITUTE('Special Help Table'!$A235,"(",""))=0,LEN('Special Help Table'!$A235)-LEN(SUBSTITUTE('Special Help Table'!$A235,"and",""))=3,LEN('Special Help Table'!$A235)-LEN(SUBSTITUTE('Special Help Table'!$A235,",",""))=1,LEN('Special Help Table'!$A235)-LEN(SUBSTITUTE('Special Help Table'!$A235," ",""))=3),'Special Help Table'!$A235)</f>
        <v xml:space="preserve"> Miller Ferrie</v>
      </c>
      <c r="C235" s="4" t="s">
        <v>483</v>
      </c>
      <c r="D235" s="2"/>
      <c r="E235" s="2" t="s">
        <v>16</v>
      </c>
      <c r="F235" s="2" t="s">
        <v>39</v>
      </c>
      <c r="G235" s="2"/>
      <c r="H235" s="2"/>
      <c r="I235" s="2"/>
      <c r="J235" s="2"/>
      <c r="K235" s="3"/>
      <c r="L235" s="2"/>
      <c r="M235" s="2"/>
      <c r="N235" s="2" t="s">
        <v>18</v>
      </c>
    </row>
    <row r="236" spans="1:14" ht="15.75" customHeight="1" x14ac:dyDescent="0.35">
      <c r="A236" s="2" t="s">
        <v>484</v>
      </c>
      <c r="B236" s="2" t="str" cm="1">
        <f t="array" ref="B236">_xlfn.IFS(AND(LEN('Special Help Table'!$A236)-(LEN(SUBSTITUTE('Special Help Table'!$A236,";","")))=0,LEN('Special Help Table'!$A236)-LEN(SUBSTITUTE('Special Help Table'!$A236,",",""))=1,LEN('Special Help Table'!$A236)-LEN(SUBSTITUTE('Special Help Table'!$A236,"and ",""))=0),MID('Special Help Table'!$A236&amp;" "&amp;'Special Help Table'!$A236,SEARCH(", ",'Special Help Table'!$A236)+1,LEN('Special Help Table'!$A236)),AND(LEN('Special Help Table'!$A236)-(LEN(SUBSTITUTE('Special Help Table'!$A236,";","")))=1,LEN('Special Help Table'!$A236)-LEN(SUBSTITUTE('Special Help Table'!$A236,"and ",""))=0),MID('Special Help Table'!$A236,SEARCH(",",'Special Help Table'!$A236)+1,(SEARCH(";",'Special Help Table'!$A236)-1)-SEARCH(",",'Special Help Table'!$A236))&amp;" "&amp;LEFT('Special Help Table'!$A236,SEARCH(",",'Special Help Table'!$A236)-1)&amp;";"&amp;RIGHT('Special Help Table'!$A236,LEN('Special Help Table'!$A236)-SEARCH(",",'Special Help Table'!$A236,SEARCH(";",'Special Help Table'!$A236)))&amp;" "&amp;MID('Special Help Table'!$A236,SEARCH("; ",'Special Help Table'!$A236)+2,SEARCH(",",'Special Help Table'!$A236,SEARCH(";",'Special Help Table'!$A236))-SEARCH(";",'Special Help Table'!$A236)-2),AND(LEN('Special Help Table'!$A236)-LEN(SUBSTITUTE('Special Help Table'!$A236,"and ",""))=0,LEN('Special Help Table'!$A236)-LEN(SUBSTITUTE('Special Help Table'!$A236,";",""))=0),'Special Help Table'!$A236,AND(LEN('Special Help Table'!$A236)-LEN(SUBSTITUTE('Special Help Table'!$A236,",","")=1),LEN('Special Help Table'!$A236)-LEN(SUBSTITUTE('Special Help Table'!$A236," ","")=20),LEN('Special Help Table'!$A236)-LEN(SUBSTITUTE('Special Help Table'!$A236," and",""))=0,LEN('Special Help Table'!$A236)-LEN(SUBSTITUTE('Special Help Table'!$A236,",","",FIND(" ",'Special Help Table'!$A236)+1))=0),RIGHT('Special Help Table'!$A236,LEN('Special Help Table'!$A236)-FIND(", ",'Special Help Table'!$A236))&amp;" "&amp;LEFT('Special Help Table'!$A236,FIND(",",'Special Help Table'!$A236)-1),AND(LEN('Special Help Table'!$A236)-LEN(SUBSTITUTE('Special Help Table'!$A236,"editor",""))=6,LEN('Special Help Table'!$A236)-LEN(SUBSTITUTE('Special Help Table'!$A236,"(",""))=0,LEN('Special Help Table'!$A236)-LEN(SUBSTITUTE('Special Help Table'!$A236,"and",""))=3,LEN('Special Help Table'!$A236)-LEN(SUBSTITUTE('Special Help Table'!$A236,",",""))=1,LEN('Special Help Table'!$A236)-LEN(SUBSTITUTE('Special Help Table'!$A236," ",""))=3),'Special Help Table'!$A236)</f>
        <v xml:space="preserve"> Linda Finlayson</v>
      </c>
      <c r="C236" s="4" t="s">
        <v>485</v>
      </c>
      <c r="D236" s="2" t="s">
        <v>486</v>
      </c>
      <c r="E236" s="2" t="s">
        <v>16</v>
      </c>
      <c r="F236" s="2" t="s">
        <v>72</v>
      </c>
      <c r="G236" s="2"/>
      <c r="H236" s="2"/>
      <c r="I236" s="2"/>
      <c r="J236" s="2"/>
      <c r="K236" s="3">
        <v>41591</v>
      </c>
      <c r="L236" s="2"/>
      <c r="M236" s="2"/>
      <c r="N236" s="2" t="s">
        <v>18</v>
      </c>
    </row>
    <row r="237" spans="1:14" ht="15.75" customHeight="1" x14ac:dyDescent="0.35">
      <c r="A237" s="2" t="s">
        <v>484</v>
      </c>
      <c r="B237" s="2" t="str" cm="1">
        <f t="array" ref="B237">_xlfn.IFS(AND(LEN('Special Help Table'!$A237)-(LEN(SUBSTITUTE('Special Help Table'!$A237,";","")))=0,LEN('Special Help Table'!$A237)-LEN(SUBSTITUTE('Special Help Table'!$A237,",",""))=1,LEN('Special Help Table'!$A237)-LEN(SUBSTITUTE('Special Help Table'!$A237,"and ",""))=0),MID('Special Help Table'!$A237&amp;" "&amp;'Special Help Table'!$A237,SEARCH(", ",'Special Help Table'!$A237)+1,LEN('Special Help Table'!$A237)),AND(LEN('Special Help Table'!$A237)-(LEN(SUBSTITUTE('Special Help Table'!$A237,";","")))=1,LEN('Special Help Table'!$A237)-LEN(SUBSTITUTE('Special Help Table'!$A237,"and ",""))=0),MID('Special Help Table'!$A237,SEARCH(",",'Special Help Table'!$A237)+1,(SEARCH(";",'Special Help Table'!$A237)-1)-SEARCH(",",'Special Help Table'!$A237))&amp;" "&amp;LEFT('Special Help Table'!$A237,SEARCH(",",'Special Help Table'!$A237)-1)&amp;";"&amp;RIGHT('Special Help Table'!$A237,LEN('Special Help Table'!$A237)-SEARCH(",",'Special Help Table'!$A237,SEARCH(";",'Special Help Table'!$A237)))&amp;" "&amp;MID('Special Help Table'!$A237,SEARCH("; ",'Special Help Table'!$A237)+2,SEARCH(",",'Special Help Table'!$A237,SEARCH(";",'Special Help Table'!$A237))-SEARCH(";",'Special Help Table'!$A237)-2),AND(LEN('Special Help Table'!$A237)-LEN(SUBSTITUTE('Special Help Table'!$A237,"and ",""))=0,LEN('Special Help Table'!$A237)-LEN(SUBSTITUTE('Special Help Table'!$A237,";",""))=0),'Special Help Table'!$A237,AND(LEN('Special Help Table'!$A237)-LEN(SUBSTITUTE('Special Help Table'!$A237,",","")=1),LEN('Special Help Table'!$A237)-LEN(SUBSTITUTE('Special Help Table'!$A237," ","")=20),LEN('Special Help Table'!$A237)-LEN(SUBSTITUTE('Special Help Table'!$A237," and",""))=0,LEN('Special Help Table'!$A237)-LEN(SUBSTITUTE('Special Help Table'!$A237,",","",FIND(" ",'Special Help Table'!$A237)+1))=0),RIGHT('Special Help Table'!$A237,LEN('Special Help Table'!$A237)-FIND(", ",'Special Help Table'!$A237))&amp;" "&amp;LEFT('Special Help Table'!$A237,FIND(",",'Special Help Table'!$A237)-1),AND(LEN('Special Help Table'!$A237)-LEN(SUBSTITUTE('Special Help Table'!$A237,"editor",""))=6,LEN('Special Help Table'!$A237)-LEN(SUBSTITUTE('Special Help Table'!$A237,"(",""))=0,LEN('Special Help Table'!$A237)-LEN(SUBSTITUTE('Special Help Table'!$A237,"and",""))=3,LEN('Special Help Table'!$A237)-LEN(SUBSTITUTE('Special Help Table'!$A237,",",""))=1,LEN('Special Help Table'!$A237)-LEN(SUBSTITUTE('Special Help Table'!$A237," ",""))=3),'Special Help Table'!$A237)</f>
        <v xml:space="preserve"> Linda Finlayson</v>
      </c>
      <c r="C237" s="4" t="s">
        <v>487</v>
      </c>
      <c r="D237" s="2" t="s">
        <v>136</v>
      </c>
      <c r="E237" s="2" t="s">
        <v>16</v>
      </c>
      <c r="F237" s="2" t="s">
        <v>72</v>
      </c>
      <c r="G237" s="2"/>
      <c r="H237" s="2"/>
      <c r="I237" s="2"/>
      <c r="J237" s="2"/>
      <c r="K237" s="3">
        <v>41804</v>
      </c>
      <c r="L237" s="2"/>
      <c r="M237" s="2"/>
      <c r="N237" s="2" t="s">
        <v>18</v>
      </c>
    </row>
    <row r="238" spans="1:14" ht="15.75" customHeight="1" x14ac:dyDescent="0.35">
      <c r="A238" s="2" t="s">
        <v>484</v>
      </c>
      <c r="B238" s="2" t="str" cm="1">
        <f t="array" ref="B238">_xlfn.IFS(AND(LEN('Special Help Table'!$A238)-(LEN(SUBSTITUTE('Special Help Table'!$A238,";","")))=0,LEN('Special Help Table'!$A238)-LEN(SUBSTITUTE('Special Help Table'!$A238,",",""))=1,LEN('Special Help Table'!$A238)-LEN(SUBSTITUTE('Special Help Table'!$A238,"and ",""))=0),MID('Special Help Table'!$A238&amp;" "&amp;'Special Help Table'!$A238,SEARCH(", ",'Special Help Table'!$A238)+1,LEN('Special Help Table'!$A238)),AND(LEN('Special Help Table'!$A238)-(LEN(SUBSTITUTE('Special Help Table'!$A238,";","")))=1,LEN('Special Help Table'!$A238)-LEN(SUBSTITUTE('Special Help Table'!$A238,"and ",""))=0),MID('Special Help Table'!$A238,SEARCH(",",'Special Help Table'!$A238)+1,(SEARCH(";",'Special Help Table'!$A238)-1)-SEARCH(",",'Special Help Table'!$A238))&amp;" "&amp;LEFT('Special Help Table'!$A238,SEARCH(",",'Special Help Table'!$A238)-1)&amp;";"&amp;RIGHT('Special Help Table'!$A238,LEN('Special Help Table'!$A238)-SEARCH(",",'Special Help Table'!$A238,SEARCH(";",'Special Help Table'!$A238)))&amp;" "&amp;MID('Special Help Table'!$A238,SEARCH("; ",'Special Help Table'!$A238)+2,SEARCH(",",'Special Help Table'!$A238,SEARCH(";",'Special Help Table'!$A238))-SEARCH(";",'Special Help Table'!$A238)-2),AND(LEN('Special Help Table'!$A238)-LEN(SUBSTITUTE('Special Help Table'!$A238,"and ",""))=0,LEN('Special Help Table'!$A238)-LEN(SUBSTITUTE('Special Help Table'!$A238,";",""))=0),'Special Help Table'!$A238,AND(LEN('Special Help Table'!$A238)-LEN(SUBSTITUTE('Special Help Table'!$A238,",","")=1),LEN('Special Help Table'!$A238)-LEN(SUBSTITUTE('Special Help Table'!$A238," ","")=20),LEN('Special Help Table'!$A238)-LEN(SUBSTITUTE('Special Help Table'!$A238," and",""))=0,LEN('Special Help Table'!$A238)-LEN(SUBSTITUTE('Special Help Table'!$A238,",","",FIND(" ",'Special Help Table'!$A238)+1))=0),RIGHT('Special Help Table'!$A238,LEN('Special Help Table'!$A238)-FIND(", ",'Special Help Table'!$A238))&amp;" "&amp;LEFT('Special Help Table'!$A238,FIND(",",'Special Help Table'!$A238)-1),AND(LEN('Special Help Table'!$A238)-LEN(SUBSTITUTE('Special Help Table'!$A238,"editor",""))=6,LEN('Special Help Table'!$A238)-LEN(SUBSTITUTE('Special Help Table'!$A238,"(",""))=0,LEN('Special Help Table'!$A238)-LEN(SUBSTITUTE('Special Help Table'!$A238,"and",""))=3,LEN('Special Help Table'!$A238)-LEN(SUBSTITUTE('Special Help Table'!$A238,",",""))=1,LEN('Special Help Table'!$A238)-LEN(SUBSTITUTE('Special Help Table'!$A238," ",""))=3),'Special Help Table'!$A238)</f>
        <v xml:space="preserve"> Linda Finlayson</v>
      </c>
      <c r="C238" s="4" t="s">
        <v>488</v>
      </c>
      <c r="D238" s="2"/>
      <c r="E238" s="2" t="s">
        <v>16</v>
      </c>
      <c r="F238" s="2" t="s">
        <v>72</v>
      </c>
      <c r="G238" s="2"/>
      <c r="H238" s="2"/>
      <c r="I238" s="2"/>
      <c r="J238" s="2"/>
      <c r="K238" s="3">
        <v>41041</v>
      </c>
      <c r="L238" s="2"/>
      <c r="M238" s="2"/>
      <c r="N238" s="2" t="s">
        <v>18</v>
      </c>
    </row>
    <row r="239" spans="1:14" ht="15.75" customHeight="1" x14ac:dyDescent="0.35">
      <c r="A239" s="2" t="s">
        <v>489</v>
      </c>
      <c r="B239" s="2" t="str" cm="1">
        <f t="array" ref="B239">_xlfn.IFS(AND(LEN('Special Help Table'!$A239)-(LEN(SUBSTITUTE('Special Help Table'!$A239,";","")))=0,LEN('Special Help Table'!$A239)-LEN(SUBSTITUTE('Special Help Table'!$A239,",",""))=1,LEN('Special Help Table'!$A239)-LEN(SUBSTITUTE('Special Help Table'!$A239,"and ",""))=0),MID('Special Help Table'!$A239&amp;" "&amp;'Special Help Table'!$A239,SEARCH(", ",'Special Help Table'!$A239)+1,LEN('Special Help Table'!$A239)),AND(LEN('Special Help Table'!$A239)-(LEN(SUBSTITUTE('Special Help Table'!$A239,";","")))=1,LEN('Special Help Table'!$A239)-LEN(SUBSTITUTE('Special Help Table'!$A239,"and ",""))=0),MID('Special Help Table'!$A239,SEARCH(",",'Special Help Table'!$A239)+1,(SEARCH(";",'Special Help Table'!$A239)-1)-SEARCH(",",'Special Help Table'!$A239))&amp;" "&amp;LEFT('Special Help Table'!$A239,SEARCH(",",'Special Help Table'!$A239)-1)&amp;";"&amp;RIGHT('Special Help Table'!$A239,LEN('Special Help Table'!$A239)-SEARCH(",",'Special Help Table'!$A239,SEARCH(";",'Special Help Table'!$A239)))&amp;" "&amp;MID('Special Help Table'!$A239,SEARCH("; ",'Special Help Table'!$A239)+2,SEARCH(",",'Special Help Table'!$A239,SEARCH(";",'Special Help Table'!$A239))-SEARCH(";",'Special Help Table'!$A239)-2),AND(LEN('Special Help Table'!$A239)-LEN(SUBSTITUTE('Special Help Table'!$A239,"and ",""))=0,LEN('Special Help Table'!$A239)-LEN(SUBSTITUTE('Special Help Table'!$A239,";",""))=0),'Special Help Table'!$A239,AND(LEN('Special Help Table'!$A239)-LEN(SUBSTITUTE('Special Help Table'!$A239,",","")=1),LEN('Special Help Table'!$A239)-LEN(SUBSTITUTE('Special Help Table'!$A239," ","")=20),LEN('Special Help Table'!$A239)-LEN(SUBSTITUTE('Special Help Table'!$A239," and",""))=0,LEN('Special Help Table'!$A239)-LEN(SUBSTITUTE('Special Help Table'!$A239,",","",FIND(" ",'Special Help Table'!$A239)+1))=0),RIGHT('Special Help Table'!$A239,LEN('Special Help Table'!$A239)-FIND(", ",'Special Help Table'!$A239))&amp;" "&amp;LEFT('Special Help Table'!$A239,FIND(",",'Special Help Table'!$A239)-1),AND(LEN('Special Help Table'!$A239)-LEN(SUBSTITUTE('Special Help Table'!$A239,"editor",""))=6,LEN('Special Help Table'!$A239)-LEN(SUBSTITUTE('Special Help Table'!$A239,"(",""))=0,LEN('Special Help Table'!$A239)-LEN(SUBSTITUTE('Special Help Table'!$A239,"and",""))=3,LEN('Special Help Table'!$A239)-LEN(SUBSTITUTE('Special Help Table'!$A239,",",""))=1,LEN('Special Help Table'!$A239)-LEN(SUBSTITUTE('Special Help Table'!$A239," ",""))=3),'Special Help Table'!$A239)</f>
        <v xml:space="preserve"> Elyse Fitzpatrick</v>
      </c>
      <c r="C239" s="4" t="s">
        <v>490</v>
      </c>
      <c r="D239" s="2"/>
      <c r="E239" s="2" t="s">
        <v>16</v>
      </c>
      <c r="F239" s="2" t="s">
        <v>17</v>
      </c>
      <c r="G239" s="2"/>
      <c r="H239" s="2"/>
      <c r="I239" s="2"/>
      <c r="J239" s="2" t="s">
        <v>491</v>
      </c>
      <c r="K239" s="3">
        <v>40034</v>
      </c>
      <c r="L239" s="2"/>
      <c r="M239" s="2"/>
      <c r="N239" s="2" t="s">
        <v>18</v>
      </c>
    </row>
    <row r="240" spans="1:14" ht="15.75" customHeight="1" x14ac:dyDescent="0.35">
      <c r="A240" s="2" t="s">
        <v>489</v>
      </c>
      <c r="B240" s="2" t="str" cm="1">
        <f t="array" ref="B240">_xlfn.IFS(AND(LEN('Special Help Table'!$A240)-(LEN(SUBSTITUTE('Special Help Table'!$A240,";","")))=0,LEN('Special Help Table'!$A240)-LEN(SUBSTITUTE('Special Help Table'!$A240,",",""))=1,LEN('Special Help Table'!$A240)-LEN(SUBSTITUTE('Special Help Table'!$A240,"and ",""))=0),MID('Special Help Table'!$A240&amp;" "&amp;'Special Help Table'!$A240,SEARCH(", ",'Special Help Table'!$A240)+1,LEN('Special Help Table'!$A240)),AND(LEN('Special Help Table'!$A240)-(LEN(SUBSTITUTE('Special Help Table'!$A240,";","")))=1,LEN('Special Help Table'!$A240)-LEN(SUBSTITUTE('Special Help Table'!$A240,"and ",""))=0),MID('Special Help Table'!$A240,SEARCH(",",'Special Help Table'!$A240)+1,(SEARCH(";",'Special Help Table'!$A240)-1)-SEARCH(",",'Special Help Table'!$A240))&amp;" "&amp;LEFT('Special Help Table'!$A240,SEARCH(",",'Special Help Table'!$A240)-1)&amp;";"&amp;RIGHT('Special Help Table'!$A240,LEN('Special Help Table'!$A240)-SEARCH(",",'Special Help Table'!$A240,SEARCH(";",'Special Help Table'!$A240)))&amp;" "&amp;MID('Special Help Table'!$A240,SEARCH("; ",'Special Help Table'!$A240)+2,SEARCH(",",'Special Help Table'!$A240,SEARCH(";",'Special Help Table'!$A240))-SEARCH(";",'Special Help Table'!$A240)-2),AND(LEN('Special Help Table'!$A240)-LEN(SUBSTITUTE('Special Help Table'!$A240,"and ",""))=0,LEN('Special Help Table'!$A240)-LEN(SUBSTITUTE('Special Help Table'!$A240,";",""))=0),'Special Help Table'!$A240,AND(LEN('Special Help Table'!$A240)-LEN(SUBSTITUTE('Special Help Table'!$A240,",","")=1),LEN('Special Help Table'!$A240)-LEN(SUBSTITUTE('Special Help Table'!$A240," ","")=20),LEN('Special Help Table'!$A240)-LEN(SUBSTITUTE('Special Help Table'!$A240," and",""))=0,LEN('Special Help Table'!$A240)-LEN(SUBSTITUTE('Special Help Table'!$A240,",","",FIND(" ",'Special Help Table'!$A240)+1))=0),RIGHT('Special Help Table'!$A240,LEN('Special Help Table'!$A240)-FIND(", ",'Special Help Table'!$A240))&amp;" "&amp;LEFT('Special Help Table'!$A240,FIND(",",'Special Help Table'!$A240)-1),AND(LEN('Special Help Table'!$A240)-LEN(SUBSTITUTE('Special Help Table'!$A240,"editor",""))=6,LEN('Special Help Table'!$A240)-LEN(SUBSTITUTE('Special Help Table'!$A240,"(",""))=0,LEN('Special Help Table'!$A240)-LEN(SUBSTITUTE('Special Help Table'!$A240,"and",""))=3,LEN('Special Help Table'!$A240)-LEN(SUBSTITUTE('Special Help Table'!$A240,",",""))=1,LEN('Special Help Table'!$A240)-LEN(SUBSTITUTE('Special Help Table'!$A240," ",""))=3),'Special Help Table'!$A240)</f>
        <v xml:space="preserve"> Elyse Fitzpatrick</v>
      </c>
      <c r="C240" s="4" t="s">
        <v>492</v>
      </c>
      <c r="D240" s="2"/>
      <c r="E240" s="2" t="s">
        <v>16</v>
      </c>
      <c r="F240" s="2" t="s">
        <v>36</v>
      </c>
      <c r="G240" s="2"/>
      <c r="H240" s="2"/>
      <c r="I240" s="2"/>
      <c r="J240" s="2"/>
      <c r="K240" s="3">
        <v>42139</v>
      </c>
      <c r="L240" s="2"/>
      <c r="M240" s="2"/>
      <c r="N240" s="2" t="s">
        <v>18</v>
      </c>
    </row>
    <row r="241" spans="1:14" ht="15.75" customHeight="1" x14ac:dyDescent="0.35">
      <c r="A241" s="2" t="s">
        <v>489</v>
      </c>
      <c r="B241" s="2" t="str" cm="1">
        <f t="array" ref="B241">_xlfn.IFS(AND(LEN('Special Help Table'!$A241)-(LEN(SUBSTITUTE('Special Help Table'!$A241,";","")))=0,LEN('Special Help Table'!$A241)-LEN(SUBSTITUTE('Special Help Table'!$A241,",",""))=1,LEN('Special Help Table'!$A241)-LEN(SUBSTITUTE('Special Help Table'!$A241,"and ",""))=0),MID('Special Help Table'!$A241&amp;" "&amp;'Special Help Table'!$A241,SEARCH(", ",'Special Help Table'!$A241)+1,LEN('Special Help Table'!$A241)),AND(LEN('Special Help Table'!$A241)-(LEN(SUBSTITUTE('Special Help Table'!$A241,";","")))=1,LEN('Special Help Table'!$A241)-LEN(SUBSTITUTE('Special Help Table'!$A241,"and ",""))=0),MID('Special Help Table'!$A241,SEARCH(",",'Special Help Table'!$A241)+1,(SEARCH(";",'Special Help Table'!$A241)-1)-SEARCH(",",'Special Help Table'!$A241))&amp;" "&amp;LEFT('Special Help Table'!$A241,SEARCH(",",'Special Help Table'!$A241)-1)&amp;";"&amp;RIGHT('Special Help Table'!$A241,LEN('Special Help Table'!$A241)-SEARCH(",",'Special Help Table'!$A241,SEARCH(";",'Special Help Table'!$A241)))&amp;" "&amp;MID('Special Help Table'!$A241,SEARCH("; ",'Special Help Table'!$A241)+2,SEARCH(",",'Special Help Table'!$A241,SEARCH(";",'Special Help Table'!$A241))-SEARCH(";",'Special Help Table'!$A241)-2),AND(LEN('Special Help Table'!$A241)-LEN(SUBSTITUTE('Special Help Table'!$A241,"and ",""))=0,LEN('Special Help Table'!$A241)-LEN(SUBSTITUTE('Special Help Table'!$A241,";",""))=0),'Special Help Table'!$A241,AND(LEN('Special Help Table'!$A241)-LEN(SUBSTITUTE('Special Help Table'!$A241,",","")=1),LEN('Special Help Table'!$A241)-LEN(SUBSTITUTE('Special Help Table'!$A241," ","")=20),LEN('Special Help Table'!$A241)-LEN(SUBSTITUTE('Special Help Table'!$A241," and",""))=0,LEN('Special Help Table'!$A241)-LEN(SUBSTITUTE('Special Help Table'!$A241,",","",FIND(" ",'Special Help Table'!$A241)+1))=0),RIGHT('Special Help Table'!$A241,LEN('Special Help Table'!$A241)-FIND(", ",'Special Help Table'!$A241))&amp;" "&amp;LEFT('Special Help Table'!$A241,FIND(",",'Special Help Table'!$A241)-1),AND(LEN('Special Help Table'!$A241)-LEN(SUBSTITUTE('Special Help Table'!$A241,"editor",""))=6,LEN('Special Help Table'!$A241)-LEN(SUBSTITUTE('Special Help Table'!$A241,"(",""))=0,LEN('Special Help Table'!$A241)-LEN(SUBSTITUTE('Special Help Table'!$A241,"and",""))=3,LEN('Special Help Table'!$A241)-LEN(SUBSTITUTE('Special Help Table'!$A241,",",""))=1,LEN('Special Help Table'!$A241)-LEN(SUBSTITUTE('Special Help Table'!$A241," ",""))=3),'Special Help Table'!$A241)</f>
        <v xml:space="preserve"> Elyse Fitzpatrick</v>
      </c>
      <c r="C241" s="4" t="s">
        <v>493</v>
      </c>
      <c r="D241" s="2"/>
      <c r="E241" s="2" t="s">
        <v>16</v>
      </c>
      <c r="F241" s="2" t="s">
        <v>36</v>
      </c>
      <c r="G241" s="2"/>
      <c r="H241" s="2"/>
      <c r="I241" s="2"/>
      <c r="J241" s="2"/>
      <c r="K241" s="3"/>
      <c r="L241" s="2"/>
      <c r="M241" s="2"/>
      <c r="N241" s="2" t="s">
        <v>18</v>
      </c>
    </row>
    <row r="242" spans="1:14" ht="15.75" customHeight="1" x14ac:dyDescent="0.35">
      <c r="A242" s="2" t="s">
        <v>489</v>
      </c>
      <c r="B242" s="2" t="str" cm="1">
        <f t="array" ref="B242">_xlfn.IFS(AND(LEN('Special Help Table'!$A242)-(LEN(SUBSTITUTE('Special Help Table'!$A242,";","")))=0,LEN('Special Help Table'!$A242)-LEN(SUBSTITUTE('Special Help Table'!$A242,",",""))=1,LEN('Special Help Table'!$A242)-LEN(SUBSTITUTE('Special Help Table'!$A242,"and ",""))=0),MID('Special Help Table'!$A242&amp;" "&amp;'Special Help Table'!$A242,SEARCH(", ",'Special Help Table'!$A242)+1,LEN('Special Help Table'!$A242)),AND(LEN('Special Help Table'!$A242)-(LEN(SUBSTITUTE('Special Help Table'!$A242,";","")))=1,LEN('Special Help Table'!$A242)-LEN(SUBSTITUTE('Special Help Table'!$A242,"and ",""))=0),MID('Special Help Table'!$A242,SEARCH(",",'Special Help Table'!$A242)+1,(SEARCH(";",'Special Help Table'!$A242)-1)-SEARCH(",",'Special Help Table'!$A242))&amp;" "&amp;LEFT('Special Help Table'!$A242,SEARCH(",",'Special Help Table'!$A242)-1)&amp;";"&amp;RIGHT('Special Help Table'!$A242,LEN('Special Help Table'!$A242)-SEARCH(",",'Special Help Table'!$A242,SEARCH(";",'Special Help Table'!$A242)))&amp;" "&amp;MID('Special Help Table'!$A242,SEARCH("; ",'Special Help Table'!$A242)+2,SEARCH(",",'Special Help Table'!$A242,SEARCH(";",'Special Help Table'!$A242))-SEARCH(";",'Special Help Table'!$A242)-2),AND(LEN('Special Help Table'!$A242)-LEN(SUBSTITUTE('Special Help Table'!$A242,"and ",""))=0,LEN('Special Help Table'!$A242)-LEN(SUBSTITUTE('Special Help Table'!$A242,";",""))=0),'Special Help Table'!$A242,AND(LEN('Special Help Table'!$A242)-LEN(SUBSTITUTE('Special Help Table'!$A242,",","")=1),LEN('Special Help Table'!$A242)-LEN(SUBSTITUTE('Special Help Table'!$A242," ","")=20),LEN('Special Help Table'!$A242)-LEN(SUBSTITUTE('Special Help Table'!$A242," and",""))=0,LEN('Special Help Table'!$A242)-LEN(SUBSTITUTE('Special Help Table'!$A242,",","",FIND(" ",'Special Help Table'!$A242)+1))=0),RIGHT('Special Help Table'!$A242,LEN('Special Help Table'!$A242)-FIND(", ",'Special Help Table'!$A242))&amp;" "&amp;LEFT('Special Help Table'!$A242,FIND(",",'Special Help Table'!$A242)-1),AND(LEN('Special Help Table'!$A242)-LEN(SUBSTITUTE('Special Help Table'!$A242,"editor",""))=6,LEN('Special Help Table'!$A242)-LEN(SUBSTITUTE('Special Help Table'!$A242,"(",""))=0,LEN('Special Help Table'!$A242)-LEN(SUBSTITUTE('Special Help Table'!$A242,"and",""))=3,LEN('Special Help Table'!$A242)-LEN(SUBSTITUTE('Special Help Table'!$A242,",",""))=1,LEN('Special Help Table'!$A242)-LEN(SUBSTITUTE('Special Help Table'!$A242," ",""))=3),'Special Help Table'!$A242)</f>
        <v xml:space="preserve"> Elyse Fitzpatrick</v>
      </c>
      <c r="C242" s="4" t="s">
        <v>494</v>
      </c>
      <c r="D242" s="2"/>
      <c r="E242" s="2" t="s">
        <v>16</v>
      </c>
      <c r="F242" s="2" t="s">
        <v>17</v>
      </c>
      <c r="G242" s="2"/>
      <c r="H242" s="2"/>
      <c r="I242" s="2"/>
      <c r="J242" s="2" t="s">
        <v>22</v>
      </c>
      <c r="K242" s="3">
        <v>40827</v>
      </c>
      <c r="L242" s="2"/>
      <c r="M242" s="2"/>
      <c r="N242" s="2" t="s">
        <v>18</v>
      </c>
    </row>
    <row r="243" spans="1:14" ht="15.75" customHeight="1" x14ac:dyDescent="0.35">
      <c r="A243" s="2" t="s">
        <v>489</v>
      </c>
      <c r="B243" s="2" t="str" cm="1">
        <f t="array" ref="B243">_xlfn.IFS(AND(LEN('Special Help Table'!$A243)-(LEN(SUBSTITUTE('Special Help Table'!$A243,";","")))=0,LEN('Special Help Table'!$A243)-LEN(SUBSTITUTE('Special Help Table'!$A243,",",""))=1,LEN('Special Help Table'!$A243)-LEN(SUBSTITUTE('Special Help Table'!$A243,"and ",""))=0),MID('Special Help Table'!$A243&amp;" "&amp;'Special Help Table'!$A243,SEARCH(", ",'Special Help Table'!$A243)+1,LEN('Special Help Table'!$A243)),AND(LEN('Special Help Table'!$A243)-(LEN(SUBSTITUTE('Special Help Table'!$A243,";","")))=1,LEN('Special Help Table'!$A243)-LEN(SUBSTITUTE('Special Help Table'!$A243,"and ",""))=0),MID('Special Help Table'!$A243,SEARCH(",",'Special Help Table'!$A243)+1,(SEARCH(";",'Special Help Table'!$A243)-1)-SEARCH(",",'Special Help Table'!$A243))&amp;" "&amp;LEFT('Special Help Table'!$A243,SEARCH(",",'Special Help Table'!$A243)-1)&amp;";"&amp;RIGHT('Special Help Table'!$A243,LEN('Special Help Table'!$A243)-SEARCH(",",'Special Help Table'!$A243,SEARCH(";",'Special Help Table'!$A243)))&amp;" "&amp;MID('Special Help Table'!$A243,SEARCH("; ",'Special Help Table'!$A243)+2,SEARCH(",",'Special Help Table'!$A243,SEARCH(";",'Special Help Table'!$A243))-SEARCH(";",'Special Help Table'!$A243)-2),AND(LEN('Special Help Table'!$A243)-LEN(SUBSTITUTE('Special Help Table'!$A243,"and ",""))=0,LEN('Special Help Table'!$A243)-LEN(SUBSTITUTE('Special Help Table'!$A243,";",""))=0),'Special Help Table'!$A243,AND(LEN('Special Help Table'!$A243)-LEN(SUBSTITUTE('Special Help Table'!$A243,",","")=1),LEN('Special Help Table'!$A243)-LEN(SUBSTITUTE('Special Help Table'!$A243," ","")=20),LEN('Special Help Table'!$A243)-LEN(SUBSTITUTE('Special Help Table'!$A243," and",""))=0,LEN('Special Help Table'!$A243)-LEN(SUBSTITUTE('Special Help Table'!$A243,",","",FIND(" ",'Special Help Table'!$A243)+1))=0),RIGHT('Special Help Table'!$A243,LEN('Special Help Table'!$A243)-FIND(", ",'Special Help Table'!$A243))&amp;" "&amp;LEFT('Special Help Table'!$A243,FIND(",",'Special Help Table'!$A243)-1),AND(LEN('Special Help Table'!$A243)-LEN(SUBSTITUTE('Special Help Table'!$A243,"editor",""))=6,LEN('Special Help Table'!$A243)-LEN(SUBSTITUTE('Special Help Table'!$A243,"(",""))=0,LEN('Special Help Table'!$A243)-LEN(SUBSTITUTE('Special Help Table'!$A243,"and",""))=3,LEN('Special Help Table'!$A243)-LEN(SUBSTITUTE('Special Help Table'!$A243,",",""))=1,LEN('Special Help Table'!$A243)-LEN(SUBSTITUTE('Special Help Table'!$A243," ",""))=3),'Special Help Table'!$A243)</f>
        <v xml:space="preserve"> Elyse Fitzpatrick</v>
      </c>
      <c r="C243" s="4" t="s">
        <v>495</v>
      </c>
      <c r="D243" s="2"/>
      <c r="E243" s="2" t="s">
        <v>16</v>
      </c>
      <c r="F243" s="2" t="s">
        <v>17</v>
      </c>
      <c r="G243" s="2"/>
      <c r="H243" s="2" t="s">
        <v>401</v>
      </c>
      <c r="I243" s="2"/>
      <c r="J243" s="2"/>
      <c r="K243" s="3"/>
      <c r="L243" s="2"/>
      <c r="M243" s="2"/>
      <c r="N243" s="2" t="s">
        <v>18</v>
      </c>
    </row>
    <row r="244" spans="1:14" ht="15.75" customHeight="1" x14ac:dyDescent="0.35">
      <c r="A244" s="2" t="s">
        <v>489</v>
      </c>
      <c r="B244" s="2" t="str" cm="1">
        <f t="array" ref="B244">_xlfn.IFS(AND(LEN('Special Help Table'!$A244)-(LEN(SUBSTITUTE('Special Help Table'!$A244,";","")))=0,LEN('Special Help Table'!$A244)-LEN(SUBSTITUTE('Special Help Table'!$A244,",",""))=1,LEN('Special Help Table'!$A244)-LEN(SUBSTITUTE('Special Help Table'!$A244,"and ",""))=0),MID('Special Help Table'!$A244&amp;" "&amp;'Special Help Table'!$A244,SEARCH(", ",'Special Help Table'!$A244)+1,LEN('Special Help Table'!$A244)),AND(LEN('Special Help Table'!$A244)-(LEN(SUBSTITUTE('Special Help Table'!$A244,";","")))=1,LEN('Special Help Table'!$A244)-LEN(SUBSTITUTE('Special Help Table'!$A244,"and ",""))=0),MID('Special Help Table'!$A244,SEARCH(",",'Special Help Table'!$A244)+1,(SEARCH(";",'Special Help Table'!$A244)-1)-SEARCH(",",'Special Help Table'!$A244))&amp;" "&amp;LEFT('Special Help Table'!$A244,SEARCH(",",'Special Help Table'!$A244)-1)&amp;";"&amp;RIGHT('Special Help Table'!$A244,LEN('Special Help Table'!$A244)-SEARCH(",",'Special Help Table'!$A244,SEARCH(";",'Special Help Table'!$A244)))&amp;" "&amp;MID('Special Help Table'!$A244,SEARCH("; ",'Special Help Table'!$A244)+2,SEARCH(",",'Special Help Table'!$A244,SEARCH(";",'Special Help Table'!$A244))-SEARCH(";",'Special Help Table'!$A244)-2),AND(LEN('Special Help Table'!$A244)-LEN(SUBSTITUTE('Special Help Table'!$A244,"and ",""))=0,LEN('Special Help Table'!$A244)-LEN(SUBSTITUTE('Special Help Table'!$A244,";",""))=0),'Special Help Table'!$A244,AND(LEN('Special Help Table'!$A244)-LEN(SUBSTITUTE('Special Help Table'!$A244,",","")=1),LEN('Special Help Table'!$A244)-LEN(SUBSTITUTE('Special Help Table'!$A244," ","")=20),LEN('Special Help Table'!$A244)-LEN(SUBSTITUTE('Special Help Table'!$A244," and",""))=0,LEN('Special Help Table'!$A244)-LEN(SUBSTITUTE('Special Help Table'!$A244,",","",FIND(" ",'Special Help Table'!$A244)+1))=0),RIGHT('Special Help Table'!$A244,LEN('Special Help Table'!$A244)-FIND(", ",'Special Help Table'!$A244))&amp;" "&amp;LEFT('Special Help Table'!$A244,FIND(",",'Special Help Table'!$A244)-1),AND(LEN('Special Help Table'!$A244)-LEN(SUBSTITUTE('Special Help Table'!$A244,"editor",""))=6,LEN('Special Help Table'!$A244)-LEN(SUBSTITUTE('Special Help Table'!$A244,"(",""))=0,LEN('Special Help Table'!$A244)-LEN(SUBSTITUTE('Special Help Table'!$A244,"and",""))=3,LEN('Special Help Table'!$A244)-LEN(SUBSTITUTE('Special Help Table'!$A244,",",""))=1,LEN('Special Help Table'!$A244)-LEN(SUBSTITUTE('Special Help Table'!$A244," ",""))=3),'Special Help Table'!$A244)</f>
        <v xml:space="preserve"> Elyse Fitzpatrick</v>
      </c>
      <c r="C244" s="4" t="s">
        <v>496</v>
      </c>
      <c r="D244" s="2"/>
      <c r="E244" s="2" t="s">
        <v>16</v>
      </c>
      <c r="F244" s="2" t="s">
        <v>36</v>
      </c>
      <c r="G244" s="2"/>
      <c r="H244" s="2"/>
      <c r="I244" s="2"/>
      <c r="J244" s="2"/>
      <c r="K244" s="3">
        <v>41621</v>
      </c>
      <c r="L244" s="2"/>
      <c r="M244" s="2"/>
      <c r="N244" s="2" t="s">
        <v>18</v>
      </c>
    </row>
    <row r="245" spans="1:14" ht="15.75" customHeight="1" x14ac:dyDescent="0.35">
      <c r="A245" s="2" t="s">
        <v>489</v>
      </c>
      <c r="B245" s="2" t="str" cm="1">
        <f t="array" ref="B245">_xlfn.IFS(AND(LEN('Special Help Table'!$A245)-(LEN(SUBSTITUTE('Special Help Table'!$A245,";","")))=0,LEN('Special Help Table'!$A245)-LEN(SUBSTITUTE('Special Help Table'!$A245,",",""))=1,LEN('Special Help Table'!$A245)-LEN(SUBSTITUTE('Special Help Table'!$A245,"and ",""))=0),MID('Special Help Table'!$A245&amp;" "&amp;'Special Help Table'!$A245,SEARCH(", ",'Special Help Table'!$A245)+1,LEN('Special Help Table'!$A245)),AND(LEN('Special Help Table'!$A245)-(LEN(SUBSTITUTE('Special Help Table'!$A245,";","")))=1,LEN('Special Help Table'!$A245)-LEN(SUBSTITUTE('Special Help Table'!$A245,"and ",""))=0),MID('Special Help Table'!$A245,SEARCH(",",'Special Help Table'!$A245)+1,(SEARCH(";",'Special Help Table'!$A245)-1)-SEARCH(",",'Special Help Table'!$A245))&amp;" "&amp;LEFT('Special Help Table'!$A245,SEARCH(",",'Special Help Table'!$A245)-1)&amp;";"&amp;RIGHT('Special Help Table'!$A245,LEN('Special Help Table'!$A245)-SEARCH(",",'Special Help Table'!$A245,SEARCH(";",'Special Help Table'!$A245)))&amp;" "&amp;MID('Special Help Table'!$A245,SEARCH("; ",'Special Help Table'!$A245)+2,SEARCH(",",'Special Help Table'!$A245,SEARCH(";",'Special Help Table'!$A245))-SEARCH(";",'Special Help Table'!$A245)-2),AND(LEN('Special Help Table'!$A245)-LEN(SUBSTITUTE('Special Help Table'!$A245,"and ",""))=0,LEN('Special Help Table'!$A245)-LEN(SUBSTITUTE('Special Help Table'!$A245,";",""))=0),'Special Help Table'!$A245,AND(LEN('Special Help Table'!$A245)-LEN(SUBSTITUTE('Special Help Table'!$A245,",","")=1),LEN('Special Help Table'!$A245)-LEN(SUBSTITUTE('Special Help Table'!$A245," ","")=20),LEN('Special Help Table'!$A245)-LEN(SUBSTITUTE('Special Help Table'!$A245," and",""))=0,LEN('Special Help Table'!$A245)-LEN(SUBSTITUTE('Special Help Table'!$A245,",","",FIND(" ",'Special Help Table'!$A245)+1))=0),RIGHT('Special Help Table'!$A245,LEN('Special Help Table'!$A245)-FIND(", ",'Special Help Table'!$A245))&amp;" "&amp;LEFT('Special Help Table'!$A245,FIND(",",'Special Help Table'!$A245)-1),AND(LEN('Special Help Table'!$A245)-LEN(SUBSTITUTE('Special Help Table'!$A245,"editor",""))=6,LEN('Special Help Table'!$A245)-LEN(SUBSTITUTE('Special Help Table'!$A245,"(",""))=0,LEN('Special Help Table'!$A245)-LEN(SUBSTITUTE('Special Help Table'!$A245,"and",""))=3,LEN('Special Help Table'!$A245)-LEN(SUBSTITUTE('Special Help Table'!$A245,",",""))=1,LEN('Special Help Table'!$A245)-LEN(SUBSTITUTE('Special Help Table'!$A245," ",""))=3),'Special Help Table'!$A245)</f>
        <v xml:space="preserve"> Elyse Fitzpatrick</v>
      </c>
      <c r="C245" s="4" t="s">
        <v>497</v>
      </c>
      <c r="D245" s="2"/>
      <c r="E245" s="2" t="s">
        <v>16</v>
      </c>
      <c r="F245" s="2" t="s">
        <v>17</v>
      </c>
      <c r="G245" s="2"/>
      <c r="H245" s="2"/>
      <c r="I245" s="2"/>
      <c r="J245" s="2" t="s">
        <v>100</v>
      </c>
      <c r="K245" s="3">
        <v>41011</v>
      </c>
      <c r="L245" s="2"/>
      <c r="M245" s="2"/>
      <c r="N245" s="2" t="s">
        <v>18</v>
      </c>
    </row>
    <row r="246" spans="1:14" ht="15.75" customHeight="1" x14ac:dyDescent="0.35">
      <c r="A246" s="2" t="s">
        <v>489</v>
      </c>
      <c r="B246" s="2" t="str" cm="1">
        <f t="array" ref="B246">_xlfn.IFS(AND(LEN('Special Help Table'!$A246)-(LEN(SUBSTITUTE('Special Help Table'!$A246,";","")))=0,LEN('Special Help Table'!$A246)-LEN(SUBSTITUTE('Special Help Table'!$A246,",",""))=1,LEN('Special Help Table'!$A246)-LEN(SUBSTITUTE('Special Help Table'!$A246,"and ",""))=0),MID('Special Help Table'!$A246&amp;" "&amp;'Special Help Table'!$A246,SEARCH(", ",'Special Help Table'!$A246)+1,LEN('Special Help Table'!$A246)),AND(LEN('Special Help Table'!$A246)-(LEN(SUBSTITUTE('Special Help Table'!$A246,";","")))=1,LEN('Special Help Table'!$A246)-LEN(SUBSTITUTE('Special Help Table'!$A246,"and ",""))=0),MID('Special Help Table'!$A246,SEARCH(",",'Special Help Table'!$A246)+1,(SEARCH(";",'Special Help Table'!$A246)-1)-SEARCH(",",'Special Help Table'!$A246))&amp;" "&amp;LEFT('Special Help Table'!$A246,SEARCH(",",'Special Help Table'!$A246)-1)&amp;";"&amp;RIGHT('Special Help Table'!$A246,LEN('Special Help Table'!$A246)-SEARCH(",",'Special Help Table'!$A246,SEARCH(";",'Special Help Table'!$A246)))&amp;" "&amp;MID('Special Help Table'!$A246,SEARCH("; ",'Special Help Table'!$A246)+2,SEARCH(",",'Special Help Table'!$A246,SEARCH(";",'Special Help Table'!$A246))-SEARCH(";",'Special Help Table'!$A246)-2),AND(LEN('Special Help Table'!$A246)-LEN(SUBSTITUTE('Special Help Table'!$A246,"and ",""))=0,LEN('Special Help Table'!$A246)-LEN(SUBSTITUTE('Special Help Table'!$A246,";",""))=0),'Special Help Table'!$A246,AND(LEN('Special Help Table'!$A246)-LEN(SUBSTITUTE('Special Help Table'!$A246,",","")=1),LEN('Special Help Table'!$A246)-LEN(SUBSTITUTE('Special Help Table'!$A246," ","")=20),LEN('Special Help Table'!$A246)-LEN(SUBSTITUTE('Special Help Table'!$A246," and",""))=0,LEN('Special Help Table'!$A246)-LEN(SUBSTITUTE('Special Help Table'!$A246,",","",FIND(" ",'Special Help Table'!$A246)+1))=0),RIGHT('Special Help Table'!$A246,LEN('Special Help Table'!$A246)-FIND(", ",'Special Help Table'!$A246))&amp;" "&amp;LEFT('Special Help Table'!$A246,FIND(",",'Special Help Table'!$A246)-1),AND(LEN('Special Help Table'!$A246)-LEN(SUBSTITUTE('Special Help Table'!$A246,"editor",""))=6,LEN('Special Help Table'!$A246)-LEN(SUBSTITUTE('Special Help Table'!$A246,"(",""))=0,LEN('Special Help Table'!$A246)-LEN(SUBSTITUTE('Special Help Table'!$A246,"and",""))=3,LEN('Special Help Table'!$A246)-LEN(SUBSTITUTE('Special Help Table'!$A246,",",""))=1,LEN('Special Help Table'!$A246)-LEN(SUBSTITUTE('Special Help Table'!$A246," ",""))=3),'Special Help Table'!$A246)</f>
        <v xml:space="preserve"> Elyse Fitzpatrick</v>
      </c>
      <c r="C246" s="4" t="s">
        <v>498</v>
      </c>
      <c r="D246" s="2"/>
      <c r="E246" s="2" t="s">
        <v>16</v>
      </c>
      <c r="F246" s="2" t="s">
        <v>36</v>
      </c>
      <c r="G246" s="2"/>
      <c r="H246" s="2"/>
      <c r="I246" s="2"/>
      <c r="J246" s="2" t="s">
        <v>230</v>
      </c>
      <c r="K246" s="3">
        <v>42476</v>
      </c>
      <c r="L246" s="2"/>
      <c r="M246" s="2"/>
      <c r="N246" s="2" t="s">
        <v>18</v>
      </c>
    </row>
    <row r="247" spans="1:14" ht="15.75" customHeight="1" x14ac:dyDescent="0.35">
      <c r="A247" s="2" t="s">
        <v>489</v>
      </c>
      <c r="B247" s="2" t="str" cm="1">
        <f t="array" ref="B247">_xlfn.IFS(AND(LEN('Special Help Table'!$A247)-(LEN(SUBSTITUTE('Special Help Table'!$A247,";","")))=0,LEN('Special Help Table'!$A247)-LEN(SUBSTITUTE('Special Help Table'!$A247,",",""))=1,LEN('Special Help Table'!$A247)-LEN(SUBSTITUTE('Special Help Table'!$A247,"and ",""))=0),MID('Special Help Table'!$A247&amp;" "&amp;'Special Help Table'!$A247,SEARCH(", ",'Special Help Table'!$A247)+1,LEN('Special Help Table'!$A247)),AND(LEN('Special Help Table'!$A247)-(LEN(SUBSTITUTE('Special Help Table'!$A247,";","")))=1,LEN('Special Help Table'!$A247)-LEN(SUBSTITUTE('Special Help Table'!$A247,"and ",""))=0),MID('Special Help Table'!$A247,SEARCH(",",'Special Help Table'!$A247)+1,(SEARCH(";",'Special Help Table'!$A247)-1)-SEARCH(",",'Special Help Table'!$A247))&amp;" "&amp;LEFT('Special Help Table'!$A247,SEARCH(",",'Special Help Table'!$A247)-1)&amp;";"&amp;RIGHT('Special Help Table'!$A247,LEN('Special Help Table'!$A247)-SEARCH(",",'Special Help Table'!$A247,SEARCH(";",'Special Help Table'!$A247)))&amp;" "&amp;MID('Special Help Table'!$A247,SEARCH("; ",'Special Help Table'!$A247)+2,SEARCH(",",'Special Help Table'!$A247,SEARCH(";",'Special Help Table'!$A247))-SEARCH(";",'Special Help Table'!$A247)-2),AND(LEN('Special Help Table'!$A247)-LEN(SUBSTITUTE('Special Help Table'!$A247,"and ",""))=0,LEN('Special Help Table'!$A247)-LEN(SUBSTITUTE('Special Help Table'!$A247,";",""))=0),'Special Help Table'!$A247,AND(LEN('Special Help Table'!$A247)-LEN(SUBSTITUTE('Special Help Table'!$A247,",","")=1),LEN('Special Help Table'!$A247)-LEN(SUBSTITUTE('Special Help Table'!$A247," ","")=20),LEN('Special Help Table'!$A247)-LEN(SUBSTITUTE('Special Help Table'!$A247," and",""))=0,LEN('Special Help Table'!$A247)-LEN(SUBSTITUTE('Special Help Table'!$A247,",","",FIND(" ",'Special Help Table'!$A247)+1))=0),RIGHT('Special Help Table'!$A247,LEN('Special Help Table'!$A247)-FIND(", ",'Special Help Table'!$A247))&amp;" "&amp;LEFT('Special Help Table'!$A247,FIND(",",'Special Help Table'!$A247)-1),AND(LEN('Special Help Table'!$A247)-LEN(SUBSTITUTE('Special Help Table'!$A247,"editor",""))=6,LEN('Special Help Table'!$A247)-LEN(SUBSTITUTE('Special Help Table'!$A247,"(",""))=0,LEN('Special Help Table'!$A247)-LEN(SUBSTITUTE('Special Help Table'!$A247,"and",""))=3,LEN('Special Help Table'!$A247)-LEN(SUBSTITUTE('Special Help Table'!$A247,",",""))=1,LEN('Special Help Table'!$A247)-LEN(SUBSTITUTE('Special Help Table'!$A247," ",""))=3),'Special Help Table'!$A247)</f>
        <v xml:space="preserve"> Elyse Fitzpatrick</v>
      </c>
      <c r="C247" s="4" t="s">
        <v>499</v>
      </c>
      <c r="D247" s="2"/>
      <c r="E247" s="2" t="s">
        <v>16</v>
      </c>
      <c r="F247" s="2" t="s">
        <v>17</v>
      </c>
      <c r="G247" s="2"/>
      <c r="H247" s="2"/>
      <c r="I247" s="2"/>
      <c r="J247" s="2" t="s">
        <v>97</v>
      </c>
      <c r="K247" s="3">
        <v>40034</v>
      </c>
      <c r="L247" s="2"/>
      <c r="M247" s="2"/>
      <c r="N247" s="2" t="s">
        <v>18</v>
      </c>
    </row>
    <row r="248" spans="1:14" ht="15.75" customHeight="1" x14ac:dyDescent="0.35">
      <c r="A248" s="2" t="s">
        <v>489</v>
      </c>
      <c r="B248" s="2" t="str" cm="1">
        <f t="array" ref="B248">_xlfn.IFS(AND(LEN('Special Help Table'!$A248)-(LEN(SUBSTITUTE('Special Help Table'!$A248,";","")))=0,LEN('Special Help Table'!$A248)-LEN(SUBSTITUTE('Special Help Table'!$A248,",",""))=1,LEN('Special Help Table'!$A248)-LEN(SUBSTITUTE('Special Help Table'!$A248,"and ",""))=0),MID('Special Help Table'!$A248&amp;" "&amp;'Special Help Table'!$A248,SEARCH(", ",'Special Help Table'!$A248)+1,LEN('Special Help Table'!$A248)),AND(LEN('Special Help Table'!$A248)-(LEN(SUBSTITUTE('Special Help Table'!$A248,";","")))=1,LEN('Special Help Table'!$A248)-LEN(SUBSTITUTE('Special Help Table'!$A248,"and ",""))=0),MID('Special Help Table'!$A248,SEARCH(",",'Special Help Table'!$A248)+1,(SEARCH(";",'Special Help Table'!$A248)-1)-SEARCH(",",'Special Help Table'!$A248))&amp;" "&amp;LEFT('Special Help Table'!$A248,SEARCH(",",'Special Help Table'!$A248)-1)&amp;";"&amp;RIGHT('Special Help Table'!$A248,LEN('Special Help Table'!$A248)-SEARCH(",",'Special Help Table'!$A248,SEARCH(";",'Special Help Table'!$A248)))&amp;" "&amp;MID('Special Help Table'!$A248,SEARCH("; ",'Special Help Table'!$A248)+2,SEARCH(",",'Special Help Table'!$A248,SEARCH(";",'Special Help Table'!$A248))-SEARCH(";",'Special Help Table'!$A248)-2),AND(LEN('Special Help Table'!$A248)-LEN(SUBSTITUTE('Special Help Table'!$A248,"and ",""))=0,LEN('Special Help Table'!$A248)-LEN(SUBSTITUTE('Special Help Table'!$A248,";",""))=0),'Special Help Table'!$A248,AND(LEN('Special Help Table'!$A248)-LEN(SUBSTITUTE('Special Help Table'!$A248,",","")=1),LEN('Special Help Table'!$A248)-LEN(SUBSTITUTE('Special Help Table'!$A248," ","")=20),LEN('Special Help Table'!$A248)-LEN(SUBSTITUTE('Special Help Table'!$A248," and",""))=0,LEN('Special Help Table'!$A248)-LEN(SUBSTITUTE('Special Help Table'!$A248,",","",FIND(" ",'Special Help Table'!$A248)+1))=0),RIGHT('Special Help Table'!$A248,LEN('Special Help Table'!$A248)-FIND(", ",'Special Help Table'!$A248))&amp;" "&amp;LEFT('Special Help Table'!$A248,FIND(",",'Special Help Table'!$A248)-1),AND(LEN('Special Help Table'!$A248)-LEN(SUBSTITUTE('Special Help Table'!$A248,"editor",""))=6,LEN('Special Help Table'!$A248)-LEN(SUBSTITUTE('Special Help Table'!$A248,"(",""))=0,LEN('Special Help Table'!$A248)-LEN(SUBSTITUTE('Special Help Table'!$A248,"and",""))=3,LEN('Special Help Table'!$A248)-LEN(SUBSTITUTE('Special Help Table'!$A248,",",""))=1,LEN('Special Help Table'!$A248)-LEN(SUBSTITUTE('Special Help Table'!$A248," ",""))=3),'Special Help Table'!$A248)</f>
        <v xml:space="preserve"> Elyse Fitzpatrick</v>
      </c>
      <c r="C248" s="4" t="s">
        <v>500</v>
      </c>
      <c r="D248" s="2"/>
      <c r="E248" s="2" t="s">
        <v>16</v>
      </c>
      <c r="F248" s="2" t="s">
        <v>17</v>
      </c>
      <c r="G248" s="2"/>
      <c r="H248" s="2"/>
      <c r="I248" s="2"/>
      <c r="J248" s="2" t="s">
        <v>501</v>
      </c>
      <c r="K248" s="3">
        <v>40034</v>
      </c>
      <c r="L248" s="2"/>
      <c r="M248" s="2"/>
      <c r="N248" s="2" t="s">
        <v>18</v>
      </c>
    </row>
    <row r="249" spans="1:14" ht="15.75" customHeight="1" x14ac:dyDescent="0.35">
      <c r="A249" s="2" t="s">
        <v>489</v>
      </c>
      <c r="B249" s="2" t="str" cm="1">
        <f t="array" ref="B249">_xlfn.IFS(AND(LEN('Special Help Table'!$A249)-(LEN(SUBSTITUTE('Special Help Table'!$A249,";","")))=0,LEN('Special Help Table'!$A249)-LEN(SUBSTITUTE('Special Help Table'!$A249,",",""))=1,LEN('Special Help Table'!$A249)-LEN(SUBSTITUTE('Special Help Table'!$A249,"and ",""))=0),MID('Special Help Table'!$A249&amp;" "&amp;'Special Help Table'!$A249,SEARCH(", ",'Special Help Table'!$A249)+1,LEN('Special Help Table'!$A249)),AND(LEN('Special Help Table'!$A249)-(LEN(SUBSTITUTE('Special Help Table'!$A249,";","")))=1,LEN('Special Help Table'!$A249)-LEN(SUBSTITUTE('Special Help Table'!$A249,"and ",""))=0),MID('Special Help Table'!$A249,SEARCH(",",'Special Help Table'!$A249)+1,(SEARCH(";",'Special Help Table'!$A249)-1)-SEARCH(",",'Special Help Table'!$A249))&amp;" "&amp;LEFT('Special Help Table'!$A249,SEARCH(",",'Special Help Table'!$A249)-1)&amp;";"&amp;RIGHT('Special Help Table'!$A249,LEN('Special Help Table'!$A249)-SEARCH(",",'Special Help Table'!$A249,SEARCH(";",'Special Help Table'!$A249)))&amp;" "&amp;MID('Special Help Table'!$A249,SEARCH("; ",'Special Help Table'!$A249)+2,SEARCH(",",'Special Help Table'!$A249,SEARCH(";",'Special Help Table'!$A249))-SEARCH(";",'Special Help Table'!$A249)-2),AND(LEN('Special Help Table'!$A249)-LEN(SUBSTITUTE('Special Help Table'!$A249,"and ",""))=0,LEN('Special Help Table'!$A249)-LEN(SUBSTITUTE('Special Help Table'!$A249,";",""))=0),'Special Help Table'!$A249,AND(LEN('Special Help Table'!$A249)-LEN(SUBSTITUTE('Special Help Table'!$A249,",","")=1),LEN('Special Help Table'!$A249)-LEN(SUBSTITUTE('Special Help Table'!$A249," ","")=20),LEN('Special Help Table'!$A249)-LEN(SUBSTITUTE('Special Help Table'!$A249," and",""))=0,LEN('Special Help Table'!$A249)-LEN(SUBSTITUTE('Special Help Table'!$A249,",","",FIND(" ",'Special Help Table'!$A249)+1))=0),RIGHT('Special Help Table'!$A249,LEN('Special Help Table'!$A249)-FIND(", ",'Special Help Table'!$A249))&amp;" "&amp;LEFT('Special Help Table'!$A249,FIND(",",'Special Help Table'!$A249)-1),AND(LEN('Special Help Table'!$A249)-LEN(SUBSTITUTE('Special Help Table'!$A249,"editor",""))=6,LEN('Special Help Table'!$A249)-LEN(SUBSTITUTE('Special Help Table'!$A249,"(",""))=0,LEN('Special Help Table'!$A249)-LEN(SUBSTITUTE('Special Help Table'!$A249,"and",""))=3,LEN('Special Help Table'!$A249)-LEN(SUBSTITUTE('Special Help Table'!$A249,",",""))=1,LEN('Special Help Table'!$A249)-LEN(SUBSTITUTE('Special Help Table'!$A249," ",""))=3),'Special Help Table'!$A249)</f>
        <v xml:space="preserve"> Elyse Fitzpatrick</v>
      </c>
      <c r="C249" s="4" t="s">
        <v>502</v>
      </c>
      <c r="D249" s="2"/>
      <c r="E249" s="2" t="s">
        <v>16</v>
      </c>
      <c r="F249" s="2" t="s">
        <v>17</v>
      </c>
      <c r="G249" s="2"/>
      <c r="H249" s="2"/>
      <c r="I249" s="2"/>
      <c r="J249" s="2" t="s">
        <v>188</v>
      </c>
      <c r="K249" s="3">
        <v>40034</v>
      </c>
      <c r="L249" s="2"/>
      <c r="M249" s="2"/>
      <c r="N249" s="2" t="s">
        <v>18</v>
      </c>
    </row>
    <row r="250" spans="1:14" ht="15.75" customHeight="1" x14ac:dyDescent="0.35">
      <c r="A250" s="2" t="s">
        <v>489</v>
      </c>
      <c r="B250" s="2" t="str" cm="1">
        <f t="array" ref="B250">_xlfn.IFS(AND(LEN('Special Help Table'!$A250)-(LEN(SUBSTITUTE('Special Help Table'!$A250,";","")))=0,LEN('Special Help Table'!$A250)-LEN(SUBSTITUTE('Special Help Table'!$A250,",",""))=1,LEN('Special Help Table'!$A250)-LEN(SUBSTITUTE('Special Help Table'!$A250,"and ",""))=0),MID('Special Help Table'!$A250&amp;" "&amp;'Special Help Table'!$A250,SEARCH(", ",'Special Help Table'!$A250)+1,LEN('Special Help Table'!$A250)),AND(LEN('Special Help Table'!$A250)-(LEN(SUBSTITUTE('Special Help Table'!$A250,";","")))=1,LEN('Special Help Table'!$A250)-LEN(SUBSTITUTE('Special Help Table'!$A250,"and ",""))=0),MID('Special Help Table'!$A250,SEARCH(",",'Special Help Table'!$A250)+1,(SEARCH(";",'Special Help Table'!$A250)-1)-SEARCH(",",'Special Help Table'!$A250))&amp;" "&amp;LEFT('Special Help Table'!$A250,SEARCH(",",'Special Help Table'!$A250)-1)&amp;";"&amp;RIGHT('Special Help Table'!$A250,LEN('Special Help Table'!$A250)-SEARCH(",",'Special Help Table'!$A250,SEARCH(";",'Special Help Table'!$A250)))&amp;" "&amp;MID('Special Help Table'!$A250,SEARCH("; ",'Special Help Table'!$A250)+2,SEARCH(",",'Special Help Table'!$A250,SEARCH(";",'Special Help Table'!$A250))-SEARCH(";",'Special Help Table'!$A250)-2),AND(LEN('Special Help Table'!$A250)-LEN(SUBSTITUTE('Special Help Table'!$A250,"and ",""))=0,LEN('Special Help Table'!$A250)-LEN(SUBSTITUTE('Special Help Table'!$A250,";",""))=0),'Special Help Table'!$A250,AND(LEN('Special Help Table'!$A250)-LEN(SUBSTITUTE('Special Help Table'!$A250,",","")=1),LEN('Special Help Table'!$A250)-LEN(SUBSTITUTE('Special Help Table'!$A250," ","")=20),LEN('Special Help Table'!$A250)-LEN(SUBSTITUTE('Special Help Table'!$A250," and",""))=0,LEN('Special Help Table'!$A250)-LEN(SUBSTITUTE('Special Help Table'!$A250,",","",FIND(" ",'Special Help Table'!$A250)+1))=0),RIGHT('Special Help Table'!$A250,LEN('Special Help Table'!$A250)-FIND(", ",'Special Help Table'!$A250))&amp;" "&amp;LEFT('Special Help Table'!$A250,FIND(",",'Special Help Table'!$A250)-1),AND(LEN('Special Help Table'!$A250)-LEN(SUBSTITUTE('Special Help Table'!$A250,"editor",""))=6,LEN('Special Help Table'!$A250)-LEN(SUBSTITUTE('Special Help Table'!$A250,"(",""))=0,LEN('Special Help Table'!$A250)-LEN(SUBSTITUTE('Special Help Table'!$A250,"and",""))=3,LEN('Special Help Table'!$A250)-LEN(SUBSTITUTE('Special Help Table'!$A250,",",""))=1,LEN('Special Help Table'!$A250)-LEN(SUBSTITUTE('Special Help Table'!$A250," ",""))=3),'Special Help Table'!$A250)</f>
        <v xml:space="preserve"> Elyse Fitzpatrick</v>
      </c>
      <c r="C250" s="4" t="s">
        <v>503</v>
      </c>
      <c r="D250" s="2" t="s">
        <v>504</v>
      </c>
      <c r="E250" s="2" t="s">
        <v>16</v>
      </c>
      <c r="F250" s="2" t="s">
        <v>17</v>
      </c>
      <c r="G250" s="2"/>
      <c r="H250" s="2"/>
      <c r="I250" s="2"/>
      <c r="J250" s="2" t="s">
        <v>89</v>
      </c>
      <c r="K250" s="3">
        <v>40034</v>
      </c>
      <c r="L250" s="2"/>
      <c r="M250" s="2"/>
      <c r="N250" s="2" t="s">
        <v>18</v>
      </c>
    </row>
    <row r="251" spans="1:14" ht="15.75" customHeight="1" x14ac:dyDescent="0.35">
      <c r="A251" s="2" t="s">
        <v>505</v>
      </c>
      <c r="B251" s="2" t="str" cm="1">
        <f t="array" ref="B251">_xlfn.IFS(AND(LEN('Special Help Table'!$A251)-(LEN(SUBSTITUTE('Special Help Table'!$A251,";","")))=0,LEN('Special Help Table'!$A251)-LEN(SUBSTITUTE('Special Help Table'!$A251,",",""))=1,LEN('Special Help Table'!$A251)-LEN(SUBSTITUTE('Special Help Table'!$A251,"and ",""))=0),MID('Special Help Table'!$A251&amp;" "&amp;'Special Help Table'!$A251,SEARCH(", ",'Special Help Table'!$A251)+1,LEN('Special Help Table'!$A251)),AND(LEN('Special Help Table'!$A251)-(LEN(SUBSTITUTE('Special Help Table'!$A251,";","")))=1,LEN('Special Help Table'!$A251)-LEN(SUBSTITUTE('Special Help Table'!$A251,"and ",""))=0),MID('Special Help Table'!$A251,SEARCH(",",'Special Help Table'!$A251)+1,(SEARCH(";",'Special Help Table'!$A251)-1)-SEARCH(",",'Special Help Table'!$A251))&amp;" "&amp;LEFT('Special Help Table'!$A251,SEARCH(",",'Special Help Table'!$A251)-1)&amp;";"&amp;RIGHT('Special Help Table'!$A251,LEN('Special Help Table'!$A251)-SEARCH(",",'Special Help Table'!$A251,SEARCH(";",'Special Help Table'!$A251)))&amp;" "&amp;MID('Special Help Table'!$A251,SEARCH("; ",'Special Help Table'!$A251)+2,SEARCH(",",'Special Help Table'!$A251,SEARCH(";",'Special Help Table'!$A251))-SEARCH(";",'Special Help Table'!$A251)-2),AND(LEN('Special Help Table'!$A251)-LEN(SUBSTITUTE('Special Help Table'!$A251,"and ",""))=0,LEN('Special Help Table'!$A251)-LEN(SUBSTITUTE('Special Help Table'!$A251,";",""))=0),'Special Help Table'!$A251,AND(LEN('Special Help Table'!$A251)-LEN(SUBSTITUTE('Special Help Table'!$A251,",","")=1),LEN('Special Help Table'!$A251)-LEN(SUBSTITUTE('Special Help Table'!$A251," ","")=20),LEN('Special Help Table'!$A251)-LEN(SUBSTITUTE('Special Help Table'!$A251," and",""))=0,LEN('Special Help Table'!$A251)-LEN(SUBSTITUTE('Special Help Table'!$A251,",","",FIND(" ",'Special Help Table'!$A251)+1))=0),RIGHT('Special Help Table'!$A251,LEN('Special Help Table'!$A251)-FIND(", ",'Special Help Table'!$A251))&amp;" "&amp;LEFT('Special Help Table'!$A251,FIND(",",'Special Help Table'!$A251)-1),AND(LEN('Special Help Table'!$A251)-LEN(SUBSTITUTE('Special Help Table'!$A251,"editor",""))=6,LEN('Special Help Table'!$A251)-LEN(SUBSTITUTE('Special Help Table'!$A251,"(",""))=0,LEN('Special Help Table'!$A251)-LEN(SUBSTITUTE('Special Help Table'!$A251,"and",""))=3,LEN('Special Help Table'!$A251)-LEN(SUBSTITUTE('Special Help Table'!$A251,",",""))=1,LEN('Special Help Table'!$A251)-LEN(SUBSTITUTE('Special Help Table'!$A251," ",""))=3),'Special Help Table'!$A251)</f>
        <v xml:space="preserve"> Elyse Fitzpatrick; Laura Hendrickson</v>
      </c>
      <c r="C251" s="4" t="s">
        <v>506</v>
      </c>
      <c r="D251" s="2"/>
      <c r="E251" s="2" t="s">
        <v>16</v>
      </c>
      <c r="F251" s="2" t="s">
        <v>36</v>
      </c>
      <c r="G251" s="2"/>
      <c r="H251" s="2"/>
      <c r="I251" s="2"/>
      <c r="J251" s="2"/>
      <c r="K251" s="3">
        <v>40644</v>
      </c>
      <c r="L251" s="2"/>
      <c r="M251" s="2"/>
      <c r="N251" s="2" t="s">
        <v>18</v>
      </c>
    </row>
    <row r="252" spans="1:14" ht="15.75" customHeight="1" x14ac:dyDescent="0.35">
      <c r="A252" s="2" t="s">
        <v>507</v>
      </c>
      <c r="B252" s="2" t="str" cm="1">
        <f t="array" ref="B252">_xlfn.IFS(AND(LEN('Special Help Table'!$A252)-(LEN(SUBSTITUTE('Special Help Table'!$A252,";","")))=0,LEN('Special Help Table'!$A252)-LEN(SUBSTITUTE('Special Help Table'!$A252,",",""))=1,LEN('Special Help Table'!$A252)-LEN(SUBSTITUTE('Special Help Table'!$A252,"and ",""))=0),MID('Special Help Table'!$A252&amp;" "&amp;'Special Help Table'!$A252,SEARCH(", ",'Special Help Table'!$A252)+1,LEN('Special Help Table'!$A252)),AND(LEN('Special Help Table'!$A252)-(LEN(SUBSTITUTE('Special Help Table'!$A252,";","")))=1,LEN('Special Help Table'!$A252)-LEN(SUBSTITUTE('Special Help Table'!$A252,"and ",""))=0),MID('Special Help Table'!$A252,SEARCH(",",'Special Help Table'!$A252)+1,(SEARCH(";",'Special Help Table'!$A252)-1)-SEARCH(",",'Special Help Table'!$A252))&amp;" "&amp;LEFT('Special Help Table'!$A252,SEARCH(",",'Special Help Table'!$A252)-1)&amp;";"&amp;RIGHT('Special Help Table'!$A252,LEN('Special Help Table'!$A252)-SEARCH(",",'Special Help Table'!$A252,SEARCH(";",'Special Help Table'!$A252)))&amp;" "&amp;MID('Special Help Table'!$A252,SEARCH("; ",'Special Help Table'!$A252)+2,SEARCH(",",'Special Help Table'!$A252,SEARCH(";",'Special Help Table'!$A252))-SEARCH(";",'Special Help Table'!$A252)-2),AND(LEN('Special Help Table'!$A252)-LEN(SUBSTITUTE('Special Help Table'!$A252,"and ",""))=0,LEN('Special Help Table'!$A252)-LEN(SUBSTITUTE('Special Help Table'!$A252,";",""))=0),'Special Help Table'!$A252,AND(LEN('Special Help Table'!$A252)-LEN(SUBSTITUTE('Special Help Table'!$A252,",","")=1),LEN('Special Help Table'!$A252)-LEN(SUBSTITUTE('Special Help Table'!$A252," ","")=20),LEN('Special Help Table'!$A252)-LEN(SUBSTITUTE('Special Help Table'!$A252," and",""))=0,LEN('Special Help Table'!$A252)-LEN(SUBSTITUTE('Special Help Table'!$A252,",","",FIND(" ",'Special Help Table'!$A252)+1))=0),RIGHT('Special Help Table'!$A252,LEN('Special Help Table'!$A252)-FIND(", ",'Special Help Table'!$A252))&amp;" "&amp;LEFT('Special Help Table'!$A252,FIND(",",'Special Help Table'!$A252)-1),AND(LEN('Special Help Table'!$A252)-LEN(SUBSTITUTE('Special Help Table'!$A252,"editor",""))=6,LEN('Special Help Table'!$A252)-LEN(SUBSTITUTE('Special Help Table'!$A252,"(",""))=0,LEN('Special Help Table'!$A252)-LEN(SUBSTITUTE('Special Help Table'!$A252,"and",""))=3,LEN('Special Help Table'!$A252)-LEN(SUBSTITUTE('Special Help Table'!$A252,",",""))=1,LEN('Special Help Table'!$A252)-LEN(SUBSTITUTE('Special Help Table'!$A252," ",""))=3),'Special Help Table'!$A252)</f>
        <v xml:space="preserve"> John Flavel</v>
      </c>
      <c r="C252" s="4" t="s">
        <v>508</v>
      </c>
      <c r="D252" s="2"/>
      <c r="E252" s="2" t="s">
        <v>16</v>
      </c>
      <c r="F252" s="2" t="s">
        <v>28</v>
      </c>
      <c r="G252" s="2"/>
      <c r="H252" s="2" t="s">
        <v>82</v>
      </c>
      <c r="I252" s="2"/>
      <c r="J252" s="2"/>
      <c r="K252" s="3">
        <v>43160</v>
      </c>
      <c r="L252" s="2"/>
      <c r="M252" s="2"/>
      <c r="N252" s="2" t="s">
        <v>18</v>
      </c>
    </row>
    <row r="253" spans="1:14" ht="15.75" customHeight="1" x14ac:dyDescent="0.35">
      <c r="A253" s="2" t="s">
        <v>509</v>
      </c>
      <c r="B253" s="2" t="str" cm="1">
        <f t="array" ref="B253">_xlfn.IFS(AND(LEN('Special Help Table'!$A253)-(LEN(SUBSTITUTE('Special Help Table'!$A253,";","")))=0,LEN('Special Help Table'!$A253)-LEN(SUBSTITUTE('Special Help Table'!$A253,",",""))=1,LEN('Special Help Table'!$A253)-LEN(SUBSTITUTE('Special Help Table'!$A253,"and ",""))=0),MID('Special Help Table'!$A253&amp;" "&amp;'Special Help Table'!$A253,SEARCH(", ",'Special Help Table'!$A253)+1,LEN('Special Help Table'!$A253)),AND(LEN('Special Help Table'!$A253)-(LEN(SUBSTITUTE('Special Help Table'!$A253,";","")))=1,LEN('Special Help Table'!$A253)-LEN(SUBSTITUTE('Special Help Table'!$A253,"and ",""))=0),MID('Special Help Table'!$A253,SEARCH(",",'Special Help Table'!$A253)+1,(SEARCH(";",'Special Help Table'!$A253)-1)-SEARCH(",",'Special Help Table'!$A253))&amp;" "&amp;LEFT('Special Help Table'!$A253,SEARCH(",",'Special Help Table'!$A253)-1)&amp;";"&amp;RIGHT('Special Help Table'!$A253,LEN('Special Help Table'!$A253)-SEARCH(",",'Special Help Table'!$A253,SEARCH(";",'Special Help Table'!$A253)))&amp;" "&amp;MID('Special Help Table'!$A253,SEARCH("; ",'Special Help Table'!$A253)+2,SEARCH(",",'Special Help Table'!$A253,SEARCH(";",'Special Help Table'!$A253))-SEARCH(";",'Special Help Table'!$A253)-2),AND(LEN('Special Help Table'!$A253)-LEN(SUBSTITUTE('Special Help Table'!$A253,"and ",""))=0,LEN('Special Help Table'!$A253)-LEN(SUBSTITUTE('Special Help Table'!$A253,";",""))=0),'Special Help Table'!$A253,AND(LEN('Special Help Table'!$A253)-LEN(SUBSTITUTE('Special Help Table'!$A253,",","")=1),LEN('Special Help Table'!$A253)-LEN(SUBSTITUTE('Special Help Table'!$A253," ","")=20),LEN('Special Help Table'!$A253)-LEN(SUBSTITUTE('Special Help Table'!$A253," and",""))=0,LEN('Special Help Table'!$A253)-LEN(SUBSTITUTE('Special Help Table'!$A253,",","",FIND(" ",'Special Help Table'!$A253)+1))=0),RIGHT('Special Help Table'!$A253,LEN('Special Help Table'!$A253)-FIND(", ",'Special Help Table'!$A253))&amp;" "&amp;LEFT('Special Help Table'!$A253,FIND(",",'Special Help Table'!$A253)-1),AND(LEN('Special Help Table'!$A253)-LEN(SUBSTITUTE('Special Help Table'!$A253,"editor",""))=6,LEN('Special Help Table'!$A253)-LEN(SUBSTITUTE('Special Help Table'!$A253,"(",""))=0,LEN('Special Help Table'!$A253)-LEN(SUBSTITUTE('Special Help Table'!$A253,"and",""))=3,LEN('Special Help Table'!$A253)-LEN(SUBSTITUTE('Special Help Table'!$A253,",",""))=1,LEN('Special Help Table'!$A253)-LEN(SUBSTITUTE('Special Help Table'!$A253," ",""))=3),'Special Help Table'!$A253)</f>
        <v xml:space="preserve"> S. Donald III Fortson</v>
      </c>
      <c r="C253" s="4" t="s">
        <v>510</v>
      </c>
      <c r="D253" s="2" t="s">
        <v>160</v>
      </c>
      <c r="E253" s="2" t="s">
        <v>16</v>
      </c>
      <c r="F253" s="2" t="s">
        <v>39</v>
      </c>
      <c r="G253" s="2"/>
      <c r="H253" s="2"/>
      <c r="I253" s="2"/>
      <c r="J253" s="2"/>
      <c r="K253" s="3">
        <v>43704</v>
      </c>
      <c r="L253" s="2"/>
      <c r="M253" s="2"/>
      <c r="N253" s="2" t="s">
        <v>18</v>
      </c>
    </row>
    <row r="254" spans="1:14" ht="15.75" customHeight="1" x14ac:dyDescent="0.35">
      <c r="A254" s="2" t="s">
        <v>511</v>
      </c>
      <c r="B254" s="2" t="str" cm="1">
        <f t="array" ref="B254">_xlfn.IFS(AND(LEN('Special Help Table'!$A254)-(LEN(SUBSTITUTE('Special Help Table'!$A254,";","")))=0,LEN('Special Help Table'!$A254)-LEN(SUBSTITUTE('Special Help Table'!$A254,",",""))=1,LEN('Special Help Table'!$A254)-LEN(SUBSTITUTE('Special Help Table'!$A254,"and ",""))=0),MID('Special Help Table'!$A254&amp;" "&amp;'Special Help Table'!$A254,SEARCH(", ",'Special Help Table'!$A254)+1,LEN('Special Help Table'!$A254)),AND(LEN('Special Help Table'!$A254)-(LEN(SUBSTITUTE('Special Help Table'!$A254,";","")))=1,LEN('Special Help Table'!$A254)-LEN(SUBSTITUTE('Special Help Table'!$A254,"and ",""))=0),MID('Special Help Table'!$A254,SEARCH(",",'Special Help Table'!$A254)+1,(SEARCH(";",'Special Help Table'!$A254)-1)-SEARCH(",",'Special Help Table'!$A254))&amp;" "&amp;LEFT('Special Help Table'!$A254,SEARCH(",",'Special Help Table'!$A254)-1)&amp;";"&amp;RIGHT('Special Help Table'!$A254,LEN('Special Help Table'!$A254)-SEARCH(",",'Special Help Table'!$A254,SEARCH(";",'Special Help Table'!$A254)))&amp;" "&amp;MID('Special Help Table'!$A254,SEARCH("; ",'Special Help Table'!$A254)+2,SEARCH(",",'Special Help Table'!$A254,SEARCH(";",'Special Help Table'!$A254))-SEARCH(";",'Special Help Table'!$A254)-2),AND(LEN('Special Help Table'!$A254)-LEN(SUBSTITUTE('Special Help Table'!$A254,"and ",""))=0,LEN('Special Help Table'!$A254)-LEN(SUBSTITUTE('Special Help Table'!$A254,";",""))=0),'Special Help Table'!$A254,AND(LEN('Special Help Table'!$A254)-LEN(SUBSTITUTE('Special Help Table'!$A254,",","")=1),LEN('Special Help Table'!$A254)-LEN(SUBSTITUTE('Special Help Table'!$A254," ","")=20),LEN('Special Help Table'!$A254)-LEN(SUBSTITUTE('Special Help Table'!$A254," and",""))=0,LEN('Special Help Table'!$A254)-LEN(SUBSTITUTE('Special Help Table'!$A254,",","",FIND(" ",'Special Help Table'!$A254)+1))=0),RIGHT('Special Help Table'!$A254,LEN('Special Help Table'!$A254)-FIND(", ",'Special Help Table'!$A254))&amp;" "&amp;LEFT('Special Help Table'!$A254,FIND(",",'Special Help Table'!$A254)-1),AND(LEN('Special Help Table'!$A254)-LEN(SUBSTITUTE('Special Help Table'!$A254,"editor",""))=6,LEN('Special Help Table'!$A254)-LEN(SUBSTITUTE('Special Help Table'!$A254,"(",""))=0,LEN('Special Help Table'!$A254)-LEN(SUBSTITUTE('Special Help Table'!$A254,"and",""))=3,LEN('Special Help Table'!$A254)-LEN(SUBSTITUTE('Special Help Table'!$A254,",",""))=1,LEN('Special Help Table'!$A254)-LEN(SUBSTITUTE('Special Help Table'!$A254," ",""))=3),'Special Help Table'!$A254)</f>
        <v xml:space="preserve"> John Freeman</v>
      </c>
      <c r="C254" s="4" t="s">
        <v>512</v>
      </c>
      <c r="D254" s="2"/>
      <c r="E254" s="2" t="s">
        <v>16</v>
      </c>
      <c r="F254" s="2" t="s">
        <v>17</v>
      </c>
      <c r="G254" s="2"/>
      <c r="H254" s="2"/>
      <c r="I254" s="2"/>
      <c r="J254" s="2" t="s">
        <v>513</v>
      </c>
      <c r="K254" s="3">
        <v>42125</v>
      </c>
      <c r="L254" s="2"/>
      <c r="M254" s="2"/>
      <c r="N254" s="2" t="s">
        <v>18</v>
      </c>
    </row>
    <row r="255" spans="1:14" ht="15.75" customHeight="1" x14ac:dyDescent="0.35">
      <c r="A255" s="2" t="s">
        <v>514</v>
      </c>
      <c r="B255" s="2" t="str" cm="1">
        <f t="array" ref="B255">_xlfn.IFS(AND(LEN('Special Help Table'!$A255)-(LEN(SUBSTITUTE('Special Help Table'!$A255,";","")))=0,LEN('Special Help Table'!$A255)-LEN(SUBSTITUTE('Special Help Table'!$A255,",",""))=1,LEN('Special Help Table'!$A255)-LEN(SUBSTITUTE('Special Help Table'!$A255,"and ",""))=0),MID('Special Help Table'!$A255&amp;" "&amp;'Special Help Table'!$A255,SEARCH(", ",'Special Help Table'!$A255)+1,LEN('Special Help Table'!$A255)),AND(LEN('Special Help Table'!$A255)-(LEN(SUBSTITUTE('Special Help Table'!$A255,";","")))=1,LEN('Special Help Table'!$A255)-LEN(SUBSTITUTE('Special Help Table'!$A255,"and ",""))=0),MID('Special Help Table'!$A255,SEARCH(",",'Special Help Table'!$A255)+1,(SEARCH(";",'Special Help Table'!$A255)-1)-SEARCH(",",'Special Help Table'!$A255))&amp;" "&amp;LEFT('Special Help Table'!$A255,SEARCH(",",'Special Help Table'!$A255)-1)&amp;";"&amp;RIGHT('Special Help Table'!$A255,LEN('Special Help Table'!$A255)-SEARCH(",",'Special Help Table'!$A255,SEARCH(";",'Special Help Table'!$A255)))&amp;" "&amp;MID('Special Help Table'!$A255,SEARCH("; ",'Special Help Table'!$A255)+2,SEARCH(",",'Special Help Table'!$A255,SEARCH(";",'Special Help Table'!$A255))-SEARCH(";",'Special Help Table'!$A255)-2),AND(LEN('Special Help Table'!$A255)-LEN(SUBSTITUTE('Special Help Table'!$A255,"and ",""))=0,LEN('Special Help Table'!$A255)-LEN(SUBSTITUTE('Special Help Table'!$A255,";",""))=0),'Special Help Table'!$A255,AND(LEN('Special Help Table'!$A255)-LEN(SUBSTITUTE('Special Help Table'!$A255,",","")=1),LEN('Special Help Table'!$A255)-LEN(SUBSTITUTE('Special Help Table'!$A255," ","")=20),LEN('Special Help Table'!$A255)-LEN(SUBSTITUTE('Special Help Table'!$A255," and",""))=0,LEN('Special Help Table'!$A255)-LEN(SUBSTITUTE('Special Help Table'!$A255,",","",FIND(" ",'Special Help Table'!$A255)+1))=0),RIGHT('Special Help Table'!$A255,LEN('Special Help Table'!$A255)-FIND(", ",'Special Help Table'!$A255))&amp;" "&amp;LEFT('Special Help Table'!$A255,FIND(",",'Special Help Table'!$A255)-1),AND(LEN('Special Help Table'!$A255)-LEN(SUBSTITUTE('Special Help Table'!$A255,"editor",""))=6,LEN('Special Help Table'!$A255)-LEN(SUBSTITUTE('Special Help Table'!$A255,"(",""))=0,LEN('Special Help Table'!$A255)-LEN(SUBSTITUTE('Special Help Table'!$A255,"and",""))=3,LEN('Special Help Table'!$A255)-LEN(SUBSTITUTE('Special Help Table'!$A255,",",""))=1,LEN('Special Help Table'!$A255)-LEN(SUBSTITUTE('Special Help Table'!$A255," ",""))=3),'Special Help Table'!$A255)</f>
        <v xml:space="preserve"> Dave Furman</v>
      </c>
      <c r="C255" s="4" t="s">
        <v>515</v>
      </c>
      <c r="D255" s="2"/>
      <c r="E255" s="2" t="s">
        <v>16</v>
      </c>
      <c r="F255" s="2" t="s">
        <v>17</v>
      </c>
      <c r="G255" s="2"/>
      <c r="H255" s="2"/>
      <c r="I255" s="2"/>
      <c r="J255" s="2" t="s">
        <v>188</v>
      </c>
      <c r="K255" s="3">
        <v>42677</v>
      </c>
      <c r="L255" s="2"/>
      <c r="M255" s="2"/>
      <c r="N255" s="2" t="s">
        <v>18</v>
      </c>
    </row>
    <row r="256" spans="1:14" ht="15.75" customHeight="1" x14ac:dyDescent="0.35">
      <c r="A256" s="2" t="s">
        <v>516</v>
      </c>
      <c r="B256" s="2" t="str" cm="1">
        <f t="array" ref="B256">_xlfn.IFS(AND(LEN('Special Help Table'!$A256)-(LEN(SUBSTITUTE('Special Help Table'!$A256,";","")))=0,LEN('Special Help Table'!$A256)-LEN(SUBSTITUTE('Special Help Table'!$A256,",",""))=1,LEN('Special Help Table'!$A256)-LEN(SUBSTITUTE('Special Help Table'!$A256,"and ",""))=0),MID('Special Help Table'!$A256&amp;" "&amp;'Special Help Table'!$A256,SEARCH(", ",'Special Help Table'!$A256)+1,LEN('Special Help Table'!$A256)),AND(LEN('Special Help Table'!$A256)-(LEN(SUBSTITUTE('Special Help Table'!$A256,";","")))=1,LEN('Special Help Table'!$A256)-LEN(SUBSTITUTE('Special Help Table'!$A256,"and ",""))=0),MID('Special Help Table'!$A256,SEARCH(",",'Special Help Table'!$A256)+1,(SEARCH(";",'Special Help Table'!$A256)-1)-SEARCH(",",'Special Help Table'!$A256))&amp;" "&amp;LEFT('Special Help Table'!$A256,SEARCH(",",'Special Help Table'!$A256)-1)&amp;";"&amp;RIGHT('Special Help Table'!$A256,LEN('Special Help Table'!$A256)-SEARCH(",",'Special Help Table'!$A256,SEARCH(";",'Special Help Table'!$A256)))&amp;" "&amp;MID('Special Help Table'!$A256,SEARCH("; ",'Special Help Table'!$A256)+2,SEARCH(",",'Special Help Table'!$A256,SEARCH(";",'Special Help Table'!$A256))-SEARCH(";",'Special Help Table'!$A256)-2),AND(LEN('Special Help Table'!$A256)-LEN(SUBSTITUTE('Special Help Table'!$A256,"and ",""))=0,LEN('Special Help Table'!$A256)-LEN(SUBSTITUTE('Special Help Table'!$A256,";",""))=0),'Special Help Table'!$A256,AND(LEN('Special Help Table'!$A256)-LEN(SUBSTITUTE('Special Help Table'!$A256,",","")=1),LEN('Special Help Table'!$A256)-LEN(SUBSTITUTE('Special Help Table'!$A256," ","")=20),LEN('Special Help Table'!$A256)-LEN(SUBSTITUTE('Special Help Table'!$A256," and",""))=0,LEN('Special Help Table'!$A256)-LEN(SUBSTITUTE('Special Help Table'!$A256,",","",FIND(" ",'Special Help Table'!$A256)+1))=0),RIGHT('Special Help Table'!$A256,LEN('Special Help Table'!$A256)-FIND(", ",'Special Help Table'!$A256))&amp;" "&amp;LEFT('Special Help Table'!$A256,FIND(",",'Special Help Table'!$A256)-1),AND(LEN('Special Help Table'!$A256)-LEN(SUBSTITUTE('Special Help Table'!$A256,"editor",""))=6,LEN('Special Help Table'!$A256)-LEN(SUBSTITUTE('Special Help Table'!$A256,"(",""))=0,LEN('Special Help Table'!$A256)-LEN(SUBSTITUTE('Special Help Table'!$A256,"and",""))=3,LEN('Special Help Table'!$A256)-LEN(SUBSTITUTE('Special Help Table'!$A256,",",""))=1,LEN('Special Help Table'!$A256)-LEN(SUBSTITUTE('Special Help Table'!$A256," ",""))=3),'Special Help Table'!$A256)</f>
        <v xml:space="preserve"> Jean Gaffin</v>
      </c>
      <c r="C256" s="4" t="s">
        <v>517</v>
      </c>
      <c r="D256" s="2"/>
      <c r="E256" s="2" t="s">
        <v>16</v>
      </c>
      <c r="F256" s="2" t="s">
        <v>36</v>
      </c>
      <c r="G256" s="2"/>
      <c r="H256" s="2"/>
      <c r="I256" s="2"/>
      <c r="J256" s="2"/>
      <c r="K256" s="3">
        <v>44044</v>
      </c>
      <c r="L256" s="2"/>
      <c r="M256" s="2"/>
      <c r="N256" s="2" t="s">
        <v>18</v>
      </c>
    </row>
    <row r="257" spans="1:14" ht="15.75" customHeight="1" x14ac:dyDescent="0.35">
      <c r="A257" s="2" t="s">
        <v>518</v>
      </c>
      <c r="B257" s="2" t="str" cm="1">
        <f t="array" ref="B257">_xlfn.IFS(AND(LEN('Special Help Table'!$A257)-(LEN(SUBSTITUTE('Special Help Table'!$A257,";","")))=0,LEN('Special Help Table'!$A257)-LEN(SUBSTITUTE('Special Help Table'!$A257,",",""))=1,LEN('Special Help Table'!$A257)-LEN(SUBSTITUTE('Special Help Table'!$A257,"and ",""))=0),MID('Special Help Table'!$A257&amp;" "&amp;'Special Help Table'!$A257,SEARCH(", ",'Special Help Table'!$A257)+1,LEN('Special Help Table'!$A257)),AND(LEN('Special Help Table'!$A257)-(LEN(SUBSTITUTE('Special Help Table'!$A257,";","")))=1,LEN('Special Help Table'!$A257)-LEN(SUBSTITUTE('Special Help Table'!$A257,"and ",""))=0),MID('Special Help Table'!$A257,SEARCH(",",'Special Help Table'!$A257)+1,(SEARCH(";",'Special Help Table'!$A257)-1)-SEARCH(",",'Special Help Table'!$A257))&amp;" "&amp;LEFT('Special Help Table'!$A257,SEARCH(",",'Special Help Table'!$A257)-1)&amp;";"&amp;RIGHT('Special Help Table'!$A257,LEN('Special Help Table'!$A257)-SEARCH(",",'Special Help Table'!$A257,SEARCH(";",'Special Help Table'!$A257)))&amp;" "&amp;MID('Special Help Table'!$A257,SEARCH("; ",'Special Help Table'!$A257)+2,SEARCH(",",'Special Help Table'!$A257,SEARCH(";",'Special Help Table'!$A257))-SEARCH(";",'Special Help Table'!$A257)-2),AND(LEN('Special Help Table'!$A257)-LEN(SUBSTITUTE('Special Help Table'!$A257,"and ",""))=0,LEN('Special Help Table'!$A257)-LEN(SUBSTITUTE('Special Help Table'!$A257,";",""))=0),'Special Help Table'!$A257,AND(LEN('Special Help Table'!$A257)-LEN(SUBSTITUTE('Special Help Table'!$A257,",","")=1),LEN('Special Help Table'!$A257)-LEN(SUBSTITUTE('Special Help Table'!$A257," ","")=20),LEN('Special Help Table'!$A257)-LEN(SUBSTITUTE('Special Help Table'!$A257," and",""))=0,LEN('Special Help Table'!$A257)-LEN(SUBSTITUTE('Special Help Table'!$A257,",","",FIND(" ",'Special Help Table'!$A257)+1))=0),RIGHT('Special Help Table'!$A257,LEN('Special Help Table'!$A257)-FIND(", ",'Special Help Table'!$A257))&amp;" "&amp;LEFT('Special Help Table'!$A257,FIND(",",'Special Help Table'!$A257)-1),AND(LEN('Special Help Table'!$A257)-LEN(SUBSTITUTE('Special Help Table'!$A257,"editor",""))=6,LEN('Special Help Table'!$A257)-LEN(SUBSTITUTE('Special Help Table'!$A257,"(",""))=0,LEN('Special Help Table'!$A257)-LEN(SUBSTITUTE('Special Help Table'!$A257,"and",""))=3,LEN('Special Help Table'!$A257)-LEN(SUBSTITUTE('Special Help Table'!$A257,",",""))=1,LEN('Special Help Table'!$A257)-LEN(SUBSTITUTE('Special Help Table'!$A257," ",""))=3),'Special Help Table'!$A257)</f>
        <v xml:space="preserve"> Ray Galea</v>
      </c>
      <c r="C257" s="4" t="s">
        <v>519</v>
      </c>
      <c r="D257" s="2"/>
      <c r="E257" s="2" t="s">
        <v>16</v>
      </c>
      <c r="F257" s="2" t="s">
        <v>36</v>
      </c>
      <c r="G257" s="2"/>
      <c r="H257" s="2"/>
      <c r="I257" s="2"/>
      <c r="J257" s="2" t="s">
        <v>520</v>
      </c>
      <c r="K257" s="3"/>
      <c r="L257" s="2"/>
      <c r="M257" s="2"/>
      <c r="N257" s="2" t="s">
        <v>18</v>
      </c>
    </row>
    <row r="258" spans="1:14" ht="15.75" customHeight="1" x14ac:dyDescent="0.35">
      <c r="A258" s="2" t="s">
        <v>521</v>
      </c>
      <c r="B258" s="2" t="str" cm="1">
        <f t="array" ref="B258">_xlfn.IFS(AND(LEN('Special Help Table'!$A258)-(LEN(SUBSTITUTE('Special Help Table'!$A258,";","")))=0,LEN('Special Help Table'!$A258)-LEN(SUBSTITUTE('Special Help Table'!$A258,",",""))=1,LEN('Special Help Table'!$A258)-LEN(SUBSTITUTE('Special Help Table'!$A258,"and ",""))=0),MID('Special Help Table'!$A258&amp;" "&amp;'Special Help Table'!$A258,SEARCH(", ",'Special Help Table'!$A258)+1,LEN('Special Help Table'!$A258)),AND(LEN('Special Help Table'!$A258)-(LEN(SUBSTITUTE('Special Help Table'!$A258,";","")))=1,LEN('Special Help Table'!$A258)-LEN(SUBSTITUTE('Special Help Table'!$A258,"and ",""))=0),MID('Special Help Table'!$A258,SEARCH(",",'Special Help Table'!$A258)+1,(SEARCH(";",'Special Help Table'!$A258)-1)-SEARCH(",",'Special Help Table'!$A258))&amp;" "&amp;LEFT('Special Help Table'!$A258,SEARCH(",",'Special Help Table'!$A258)-1)&amp;";"&amp;RIGHT('Special Help Table'!$A258,LEN('Special Help Table'!$A258)-SEARCH(",",'Special Help Table'!$A258,SEARCH(";",'Special Help Table'!$A258)))&amp;" "&amp;MID('Special Help Table'!$A258,SEARCH("; ",'Special Help Table'!$A258)+2,SEARCH(",",'Special Help Table'!$A258,SEARCH(";",'Special Help Table'!$A258))-SEARCH(";",'Special Help Table'!$A258)-2),AND(LEN('Special Help Table'!$A258)-LEN(SUBSTITUTE('Special Help Table'!$A258,"and ",""))=0,LEN('Special Help Table'!$A258)-LEN(SUBSTITUTE('Special Help Table'!$A258,";",""))=0),'Special Help Table'!$A258,AND(LEN('Special Help Table'!$A258)-LEN(SUBSTITUTE('Special Help Table'!$A258,",","")=1),LEN('Special Help Table'!$A258)-LEN(SUBSTITUTE('Special Help Table'!$A258," ","")=20),LEN('Special Help Table'!$A258)-LEN(SUBSTITUTE('Special Help Table'!$A258," and",""))=0,LEN('Special Help Table'!$A258)-LEN(SUBSTITUTE('Special Help Table'!$A258,",","",FIND(" ",'Special Help Table'!$A258)+1))=0),RIGHT('Special Help Table'!$A258,LEN('Special Help Table'!$A258)-FIND(", ",'Special Help Table'!$A258))&amp;" "&amp;LEFT('Special Help Table'!$A258,FIND(",",'Special Help Table'!$A258)-1),AND(LEN('Special Help Table'!$A258)-LEN(SUBSTITUTE('Special Help Table'!$A258,"editor",""))=6,LEN('Special Help Table'!$A258)-LEN(SUBSTITUTE('Special Help Table'!$A258,"(",""))=0,LEN('Special Help Table'!$A258)-LEN(SUBSTITUTE('Special Help Table'!$A258,"and",""))=3,LEN('Special Help Table'!$A258)-LEN(SUBSTITUTE('Special Help Table'!$A258,",",""))=1,LEN('Special Help Table'!$A258)-LEN(SUBSTITUTE('Special Help Table'!$A258," ",""))=3),'Special Help Table'!$A258)</f>
        <v xml:space="preserve"> Nancy E. Ganz</v>
      </c>
      <c r="C258" s="4" t="s">
        <v>522</v>
      </c>
      <c r="D258" s="2"/>
      <c r="E258" s="2" t="s">
        <v>16</v>
      </c>
      <c r="F258" s="2" t="s">
        <v>76</v>
      </c>
      <c r="G258" s="2"/>
      <c r="H258" s="2"/>
      <c r="I258" s="2"/>
      <c r="J258" s="2" t="s">
        <v>523</v>
      </c>
      <c r="K258" s="3">
        <v>40034</v>
      </c>
      <c r="L258" s="2"/>
      <c r="M258" s="2"/>
      <c r="N258" s="2" t="s">
        <v>18</v>
      </c>
    </row>
    <row r="259" spans="1:14" ht="15.75" customHeight="1" x14ac:dyDescent="0.35">
      <c r="A259" s="2" t="s">
        <v>524</v>
      </c>
      <c r="B259" s="2" t="str" cm="1">
        <f t="array" ref="B259">_xlfn.IFS(AND(LEN('Special Help Table'!$A259)-(LEN(SUBSTITUTE('Special Help Table'!$A259,";","")))=0,LEN('Special Help Table'!$A259)-LEN(SUBSTITUTE('Special Help Table'!$A259,",",""))=1,LEN('Special Help Table'!$A259)-LEN(SUBSTITUTE('Special Help Table'!$A259,"and ",""))=0),MID('Special Help Table'!$A259&amp;" "&amp;'Special Help Table'!$A259,SEARCH(", ",'Special Help Table'!$A259)+1,LEN('Special Help Table'!$A259)),AND(LEN('Special Help Table'!$A259)-(LEN(SUBSTITUTE('Special Help Table'!$A259,";","")))=1,LEN('Special Help Table'!$A259)-LEN(SUBSTITUTE('Special Help Table'!$A259,"and ",""))=0),MID('Special Help Table'!$A259,SEARCH(",",'Special Help Table'!$A259)+1,(SEARCH(";",'Special Help Table'!$A259)-1)-SEARCH(",",'Special Help Table'!$A259))&amp;" "&amp;LEFT('Special Help Table'!$A259,SEARCH(",",'Special Help Table'!$A259)-1)&amp;";"&amp;RIGHT('Special Help Table'!$A259,LEN('Special Help Table'!$A259)-SEARCH(",",'Special Help Table'!$A259,SEARCH(";",'Special Help Table'!$A259)))&amp;" "&amp;MID('Special Help Table'!$A259,SEARCH("; ",'Special Help Table'!$A259)+2,SEARCH(",",'Special Help Table'!$A259,SEARCH(";",'Special Help Table'!$A259))-SEARCH(";",'Special Help Table'!$A259)-2),AND(LEN('Special Help Table'!$A259)-LEN(SUBSTITUTE('Special Help Table'!$A259,"and ",""))=0,LEN('Special Help Table'!$A259)-LEN(SUBSTITUTE('Special Help Table'!$A259,";",""))=0),'Special Help Table'!$A259,AND(LEN('Special Help Table'!$A259)-LEN(SUBSTITUTE('Special Help Table'!$A259,",","")=1),LEN('Special Help Table'!$A259)-LEN(SUBSTITUTE('Special Help Table'!$A259," ","")=20),LEN('Special Help Table'!$A259)-LEN(SUBSTITUTE('Special Help Table'!$A259," and",""))=0,LEN('Special Help Table'!$A259)-LEN(SUBSTITUTE('Special Help Table'!$A259,",","",FIND(" ",'Special Help Table'!$A259)+1))=0),RIGHT('Special Help Table'!$A259,LEN('Special Help Table'!$A259)-FIND(", ",'Special Help Table'!$A259))&amp;" "&amp;LEFT('Special Help Table'!$A259,FIND(",",'Special Help Table'!$A259)-1),AND(LEN('Special Help Table'!$A259)-LEN(SUBSTITUTE('Special Help Table'!$A259,"editor",""))=6,LEN('Special Help Table'!$A259)-LEN(SUBSTITUTE('Special Help Table'!$A259,"(",""))=0,LEN('Special Help Table'!$A259)-LEN(SUBSTITUTE('Special Help Table'!$A259,"and",""))=3,LEN('Special Help Table'!$A259)-LEN(SUBSTITUTE('Special Help Table'!$A259,",",""))=1,LEN('Special Help Table'!$A259)-LEN(SUBSTITUTE('Special Help Table'!$A259," ",""))=3),'Special Help Table'!$A259)</f>
        <v xml:space="preserve"> David E. Garland</v>
      </c>
      <c r="C259" s="4" t="s">
        <v>525</v>
      </c>
      <c r="D259" s="2"/>
      <c r="E259" s="2" t="s">
        <v>16</v>
      </c>
      <c r="F259" s="2" t="s">
        <v>92</v>
      </c>
      <c r="G259" s="2"/>
      <c r="H259" s="2"/>
      <c r="I259" s="2"/>
      <c r="J259" s="2"/>
      <c r="K259" s="3">
        <v>42511</v>
      </c>
      <c r="L259" s="2"/>
      <c r="M259" s="2"/>
      <c r="N259" s="2" t="s">
        <v>18</v>
      </c>
    </row>
    <row r="260" spans="1:14" ht="15.75" customHeight="1" x14ac:dyDescent="0.35">
      <c r="A260" s="2" t="s">
        <v>526</v>
      </c>
      <c r="B260" s="2" t="str" cm="1">
        <f t="array" ref="B260">_xlfn.IFS(AND(LEN('Special Help Table'!$A260)-(LEN(SUBSTITUTE('Special Help Table'!$A260,";","")))=0,LEN('Special Help Table'!$A260)-LEN(SUBSTITUTE('Special Help Table'!$A260,",",""))=1,LEN('Special Help Table'!$A260)-LEN(SUBSTITUTE('Special Help Table'!$A260,"and ",""))=0),MID('Special Help Table'!$A260&amp;" "&amp;'Special Help Table'!$A260,SEARCH(", ",'Special Help Table'!$A260)+1,LEN('Special Help Table'!$A260)),AND(LEN('Special Help Table'!$A260)-(LEN(SUBSTITUTE('Special Help Table'!$A260,";","")))=1,LEN('Special Help Table'!$A260)-LEN(SUBSTITUTE('Special Help Table'!$A260,"and ",""))=0),MID('Special Help Table'!$A260,SEARCH(",",'Special Help Table'!$A260)+1,(SEARCH(";",'Special Help Table'!$A260)-1)-SEARCH(",",'Special Help Table'!$A260))&amp;" "&amp;LEFT('Special Help Table'!$A260,SEARCH(",",'Special Help Table'!$A260)-1)&amp;";"&amp;RIGHT('Special Help Table'!$A260,LEN('Special Help Table'!$A260)-SEARCH(",",'Special Help Table'!$A260,SEARCH(";",'Special Help Table'!$A260)))&amp;" "&amp;MID('Special Help Table'!$A260,SEARCH("; ",'Special Help Table'!$A260)+2,SEARCH(",",'Special Help Table'!$A260,SEARCH(";",'Special Help Table'!$A260))-SEARCH(";",'Special Help Table'!$A260)-2),AND(LEN('Special Help Table'!$A260)-LEN(SUBSTITUTE('Special Help Table'!$A260,"and ",""))=0,LEN('Special Help Table'!$A260)-LEN(SUBSTITUTE('Special Help Table'!$A260,";",""))=0),'Special Help Table'!$A260,AND(LEN('Special Help Table'!$A260)-LEN(SUBSTITUTE('Special Help Table'!$A260,",","")=1),LEN('Special Help Table'!$A260)-LEN(SUBSTITUTE('Special Help Table'!$A260," ","")=20),LEN('Special Help Table'!$A260)-LEN(SUBSTITUTE('Special Help Table'!$A260," and",""))=0,LEN('Special Help Table'!$A260)-LEN(SUBSTITUTE('Special Help Table'!$A260,",","",FIND(" ",'Special Help Table'!$A260)+1))=0),RIGHT('Special Help Table'!$A260,LEN('Special Help Table'!$A260)-FIND(", ",'Special Help Table'!$A260))&amp;" "&amp;LEFT('Special Help Table'!$A260,FIND(",",'Special Help Table'!$A260)-1),AND(LEN('Special Help Table'!$A260)-LEN(SUBSTITUTE('Special Help Table'!$A260,"editor",""))=6,LEN('Special Help Table'!$A260)-LEN(SUBSTITUTE('Special Help Table'!$A260,"(",""))=0,LEN('Special Help Table'!$A260)-LEN(SUBSTITUTE('Special Help Table'!$A260,"and",""))=3,LEN('Special Help Table'!$A260)-LEN(SUBSTITUTE('Special Help Table'!$A260,",",""))=1,LEN('Special Help Table'!$A260)-LEN(SUBSTITUTE('Special Help Table'!$A260," ",""))=3),'Special Help Table'!$A260)</f>
        <v xml:space="preserve"> David Garner</v>
      </c>
      <c r="C260" s="4" t="s">
        <v>527</v>
      </c>
      <c r="D260" s="2"/>
      <c r="E260" s="2" t="s">
        <v>16</v>
      </c>
      <c r="F260" s="2" t="s">
        <v>28</v>
      </c>
      <c r="G260" s="2" t="s">
        <v>76</v>
      </c>
      <c r="H260" s="2"/>
      <c r="I260" s="2"/>
      <c r="J260" s="2"/>
      <c r="K260" s="3"/>
      <c r="L260" s="2"/>
      <c r="M260" s="2"/>
      <c r="N260" s="2" t="s">
        <v>18</v>
      </c>
    </row>
    <row r="261" spans="1:14" ht="15.75" customHeight="1" x14ac:dyDescent="0.35">
      <c r="A261" s="2" t="s">
        <v>528</v>
      </c>
      <c r="B261" s="2" t="str" cm="1">
        <f t="array" ref="B261">_xlfn.IFS(AND(LEN('Special Help Table'!$A261)-(LEN(SUBSTITUTE('Special Help Table'!$A261,";","")))=0,LEN('Special Help Table'!$A261)-LEN(SUBSTITUTE('Special Help Table'!$A261,",",""))=1,LEN('Special Help Table'!$A261)-LEN(SUBSTITUTE('Special Help Table'!$A261,"and ",""))=0),MID('Special Help Table'!$A261&amp;" "&amp;'Special Help Table'!$A261,SEARCH(", ",'Special Help Table'!$A261)+1,LEN('Special Help Table'!$A261)),AND(LEN('Special Help Table'!$A261)-(LEN(SUBSTITUTE('Special Help Table'!$A261,";","")))=1,LEN('Special Help Table'!$A261)-LEN(SUBSTITUTE('Special Help Table'!$A261,"and ",""))=0),MID('Special Help Table'!$A261,SEARCH(",",'Special Help Table'!$A261)+1,(SEARCH(";",'Special Help Table'!$A261)-1)-SEARCH(",",'Special Help Table'!$A261))&amp;" "&amp;LEFT('Special Help Table'!$A261,SEARCH(",",'Special Help Table'!$A261)-1)&amp;";"&amp;RIGHT('Special Help Table'!$A261,LEN('Special Help Table'!$A261)-SEARCH(",",'Special Help Table'!$A261,SEARCH(";",'Special Help Table'!$A261)))&amp;" "&amp;MID('Special Help Table'!$A261,SEARCH("; ",'Special Help Table'!$A261)+2,SEARCH(",",'Special Help Table'!$A261,SEARCH(";",'Special Help Table'!$A261))-SEARCH(";",'Special Help Table'!$A261)-2),AND(LEN('Special Help Table'!$A261)-LEN(SUBSTITUTE('Special Help Table'!$A261,"and ",""))=0,LEN('Special Help Table'!$A261)-LEN(SUBSTITUTE('Special Help Table'!$A261,";",""))=0),'Special Help Table'!$A261,AND(LEN('Special Help Table'!$A261)-LEN(SUBSTITUTE('Special Help Table'!$A261,",","")=1),LEN('Special Help Table'!$A261)-LEN(SUBSTITUTE('Special Help Table'!$A261," ","")=20),LEN('Special Help Table'!$A261)-LEN(SUBSTITUTE('Special Help Table'!$A261," and",""))=0,LEN('Special Help Table'!$A261)-LEN(SUBSTITUTE('Special Help Table'!$A261,",","",FIND(" ",'Special Help Table'!$A261)+1))=0),RIGHT('Special Help Table'!$A261,LEN('Special Help Table'!$A261)-FIND(", ",'Special Help Table'!$A261))&amp;" "&amp;LEFT('Special Help Table'!$A261,FIND(",",'Special Help Table'!$A261)-1),AND(LEN('Special Help Table'!$A261)-LEN(SUBSTITUTE('Special Help Table'!$A261,"editor",""))=6,LEN('Special Help Table'!$A261)-LEN(SUBSTITUTE('Special Help Table'!$A261,"(",""))=0,LEN('Special Help Table'!$A261)-LEN(SUBSTITUTE('Special Help Table'!$A261,"and",""))=3,LEN('Special Help Table'!$A261)-LEN(SUBSTITUTE('Special Help Table'!$A261,",",""))=1,LEN('Special Help Table'!$A261)-LEN(SUBSTITUTE('Special Help Table'!$A261," ",""))=3),'Special Help Table'!$A261)</f>
        <v xml:space="preserve"> David B. Garner</v>
      </c>
      <c r="C261" s="4" t="s">
        <v>529</v>
      </c>
      <c r="D261" s="2"/>
      <c r="E261" s="2" t="s">
        <v>16</v>
      </c>
      <c r="F261" s="2" t="s">
        <v>28</v>
      </c>
      <c r="G261" s="2"/>
      <c r="H261" s="2"/>
      <c r="I261" s="2"/>
      <c r="J261" s="2"/>
      <c r="K261" s="3">
        <v>42856</v>
      </c>
      <c r="L261" s="2"/>
      <c r="M261" s="2"/>
      <c r="N261" s="2" t="s">
        <v>18</v>
      </c>
    </row>
    <row r="262" spans="1:14" ht="15.75" customHeight="1" x14ac:dyDescent="0.35">
      <c r="A262" s="2" t="s">
        <v>530</v>
      </c>
      <c r="B262" s="2" t="str" cm="1">
        <f t="array" ref="B262">_xlfn.IFS(AND(LEN('Special Help Table'!$A262)-(LEN(SUBSTITUTE('Special Help Table'!$A262,";","")))=0,LEN('Special Help Table'!$A262)-LEN(SUBSTITUTE('Special Help Table'!$A262,",",""))=1,LEN('Special Help Table'!$A262)-LEN(SUBSTITUTE('Special Help Table'!$A262,"and ",""))=0),MID('Special Help Table'!$A262&amp;" "&amp;'Special Help Table'!$A262,SEARCH(", ",'Special Help Table'!$A262)+1,LEN('Special Help Table'!$A262)),AND(LEN('Special Help Table'!$A262)-(LEN(SUBSTITUTE('Special Help Table'!$A262,";","")))=1,LEN('Special Help Table'!$A262)-LEN(SUBSTITUTE('Special Help Table'!$A262,"and ",""))=0),MID('Special Help Table'!$A262,SEARCH(",",'Special Help Table'!$A262)+1,(SEARCH(";",'Special Help Table'!$A262)-1)-SEARCH(",",'Special Help Table'!$A262))&amp;" "&amp;LEFT('Special Help Table'!$A262,SEARCH(",",'Special Help Table'!$A262)-1)&amp;";"&amp;RIGHT('Special Help Table'!$A262,LEN('Special Help Table'!$A262)-SEARCH(",",'Special Help Table'!$A262,SEARCH(";",'Special Help Table'!$A262)))&amp;" "&amp;MID('Special Help Table'!$A262,SEARCH("; ",'Special Help Table'!$A262)+2,SEARCH(",",'Special Help Table'!$A262,SEARCH(";",'Special Help Table'!$A262))-SEARCH(";",'Special Help Table'!$A262)-2),AND(LEN('Special Help Table'!$A262)-LEN(SUBSTITUTE('Special Help Table'!$A262,"and ",""))=0,LEN('Special Help Table'!$A262)-LEN(SUBSTITUTE('Special Help Table'!$A262,";",""))=0),'Special Help Table'!$A262,AND(LEN('Special Help Table'!$A262)-LEN(SUBSTITUTE('Special Help Table'!$A262,",","")=1),LEN('Special Help Table'!$A262)-LEN(SUBSTITUTE('Special Help Table'!$A262," ","")=20),LEN('Special Help Table'!$A262)-LEN(SUBSTITUTE('Special Help Table'!$A262," and",""))=0,LEN('Special Help Table'!$A262)-LEN(SUBSTITUTE('Special Help Table'!$A262,",","",FIND(" ",'Special Help Table'!$A262)+1))=0),RIGHT('Special Help Table'!$A262,LEN('Special Help Table'!$A262)-FIND(", ",'Special Help Table'!$A262))&amp;" "&amp;LEFT('Special Help Table'!$A262,FIND(",",'Special Help Table'!$A262)-1),AND(LEN('Special Help Table'!$A262)-LEN(SUBSTITUTE('Special Help Table'!$A262,"editor",""))=6,LEN('Special Help Table'!$A262)-LEN(SUBSTITUTE('Special Help Table'!$A262,"(",""))=0,LEN('Special Help Table'!$A262)-LEN(SUBSTITUTE('Special Help Table'!$A262,"and",""))=3,LEN('Special Help Table'!$A262)-LEN(SUBSTITUTE('Special Help Table'!$A262,",",""))=1,LEN('Special Help Table'!$A262)-LEN(SUBSTITUTE('Special Help Table'!$A262," ",""))=3),'Special Help Table'!$A262)</f>
        <v xml:space="preserve"> Norman L. Geisler</v>
      </c>
      <c r="C262" s="4" t="s">
        <v>531</v>
      </c>
      <c r="D262" s="2" t="s">
        <v>532</v>
      </c>
      <c r="E262" s="2" t="s">
        <v>16</v>
      </c>
      <c r="F262" s="2" t="s">
        <v>76</v>
      </c>
      <c r="G262" s="2"/>
      <c r="H262" s="2"/>
      <c r="I262" s="2"/>
      <c r="J262" s="2"/>
      <c r="K262" s="3">
        <v>40034</v>
      </c>
      <c r="L262" s="2"/>
      <c r="M262" s="2"/>
      <c r="N262" s="2" t="s">
        <v>18</v>
      </c>
    </row>
    <row r="263" spans="1:14" ht="15.75" customHeight="1" x14ac:dyDescent="0.35">
      <c r="A263" s="2" t="s">
        <v>533</v>
      </c>
      <c r="B263" s="2" t="str" cm="1">
        <f t="array" ref="B263">_xlfn.IFS(AND(LEN('Special Help Table'!$A263)-(LEN(SUBSTITUTE('Special Help Table'!$A263,";","")))=0,LEN('Special Help Table'!$A263)-LEN(SUBSTITUTE('Special Help Table'!$A263,",",""))=1,LEN('Special Help Table'!$A263)-LEN(SUBSTITUTE('Special Help Table'!$A263,"and ",""))=0),MID('Special Help Table'!$A263&amp;" "&amp;'Special Help Table'!$A263,SEARCH(", ",'Special Help Table'!$A263)+1,LEN('Special Help Table'!$A263)),AND(LEN('Special Help Table'!$A263)-(LEN(SUBSTITUTE('Special Help Table'!$A263,";","")))=1,LEN('Special Help Table'!$A263)-LEN(SUBSTITUTE('Special Help Table'!$A263,"and ",""))=0),MID('Special Help Table'!$A263,SEARCH(",",'Special Help Table'!$A263)+1,(SEARCH(";",'Special Help Table'!$A263)-1)-SEARCH(",",'Special Help Table'!$A263))&amp;" "&amp;LEFT('Special Help Table'!$A263,SEARCH(",",'Special Help Table'!$A263)-1)&amp;";"&amp;RIGHT('Special Help Table'!$A263,LEN('Special Help Table'!$A263)-SEARCH(",",'Special Help Table'!$A263,SEARCH(";",'Special Help Table'!$A263)))&amp;" "&amp;MID('Special Help Table'!$A263,SEARCH("; ",'Special Help Table'!$A263)+2,SEARCH(",",'Special Help Table'!$A263,SEARCH(";",'Special Help Table'!$A263))-SEARCH(";",'Special Help Table'!$A263)-2),AND(LEN('Special Help Table'!$A263)-LEN(SUBSTITUTE('Special Help Table'!$A263,"and ",""))=0,LEN('Special Help Table'!$A263)-LEN(SUBSTITUTE('Special Help Table'!$A263,";",""))=0),'Special Help Table'!$A263,AND(LEN('Special Help Table'!$A263)-LEN(SUBSTITUTE('Special Help Table'!$A263,",","")=1),LEN('Special Help Table'!$A263)-LEN(SUBSTITUTE('Special Help Table'!$A263," ","")=20),LEN('Special Help Table'!$A263)-LEN(SUBSTITUTE('Special Help Table'!$A263," and",""))=0,LEN('Special Help Table'!$A263)-LEN(SUBSTITUTE('Special Help Table'!$A263,",","",FIND(" ",'Special Help Table'!$A263)+1))=0),RIGHT('Special Help Table'!$A263,LEN('Special Help Table'!$A263)-FIND(", ",'Special Help Table'!$A263))&amp;" "&amp;LEFT('Special Help Table'!$A263,FIND(",",'Special Help Table'!$A263)-1),AND(LEN('Special Help Table'!$A263)-LEN(SUBSTITUTE('Special Help Table'!$A263,"editor",""))=6,LEN('Special Help Table'!$A263)-LEN(SUBSTITUTE('Special Help Table'!$A263,"(",""))=0,LEN('Special Help Table'!$A263)-LEN(SUBSTITUTE('Special Help Table'!$A263,"and",""))=3,LEN('Special Help Table'!$A263)-LEN(SUBSTITUTE('Special Help Table'!$A263,",",""))=1,LEN('Special Help Table'!$A263)-LEN(SUBSTITUTE('Special Help Table'!$A263," ",""))=3),'Special Help Table'!$A263)</f>
        <v xml:space="preserve"> Michael Scott Gembola</v>
      </c>
      <c r="C263" s="4" t="s">
        <v>534</v>
      </c>
      <c r="D263" s="2"/>
      <c r="E263" s="2" t="s">
        <v>16</v>
      </c>
      <c r="F263" s="2" t="s">
        <v>17</v>
      </c>
      <c r="G263" s="2"/>
      <c r="H263" s="2" t="s">
        <v>401</v>
      </c>
      <c r="I263" s="2"/>
      <c r="J263" s="2" t="s">
        <v>97</v>
      </c>
      <c r="K263" s="3"/>
      <c r="L263" s="2"/>
      <c r="M263" s="2"/>
      <c r="N263" s="2" t="s">
        <v>18</v>
      </c>
    </row>
    <row r="264" spans="1:14" ht="15.75" customHeight="1" x14ac:dyDescent="0.35">
      <c r="A264" s="2" t="s">
        <v>535</v>
      </c>
      <c r="B264" s="2" t="str" cm="1">
        <f t="array" ref="B264">_xlfn.IFS(AND(LEN('Special Help Table'!$A264)-(LEN(SUBSTITUTE('Special Help Table'!$A264,";","")))=0,LEN('Special Help Table'!$A264)-LEN(SUBSTITUTE('Special Help Table'!$A264,",",""))=1,LEN('Special Help Table'!$A264)-LEN(SUBSTITUTE('Special Help Table'!$A264,"and ",""))=0),MID('Special Help Table'!$A264&amp;" "&amp;'Special Help Table'!$A264,SEARCH(", ",'Special Help Table'!$A264)+1,LEN('Special Help Table'!$A264)),AND(LEN('Special Help Table'!$A264)-(LEN(SUBSTITUTE('Special Help Table'!$A264,";","")))=1,LEN('Special Help Table'!$A264)-LEN(SUBSTITUTE('Special Help Table'!$A264,"and ",""))=0),MID('Special Help Table'!$A264,SEARCH(",",'Special Help Table'!$A264)+1,(SEARCH(";",'Special Help Table'!$A264)-1)-SEARCH(",",'Special Help Table'!$A264))&amp;" "&amp;LEFT('Special Help Table'!$A264,SEARCH(",",'Special Help Table'!$A264)-1)&amp;";"&amp;RIGHT('Special Help Table'!$A264,LEN('Special Help Table'!$A264)-SEARCH(",",'Special Help Table'!$A264,SEARCH(";",'Special Help Table'!$A264)))&amp;" "&amp;MID('Special Help Table'!$A264,SEARCH("; ",'Special Help Table'!$A264)+2,SEARCH(",",'Special Help Table'!$A264,SEARCH(";",'Special Help Table'!$A264))-SEARCH(";",'Special Help Table'!$A264)-2),AND(LEN('Special Help Table'!$A264)-LEN(SUBSTITUTE('Special Help Table'!$A264,"and ",""))=0,LEN('Special Help Table'!$A264)-LEN(SUBSTITUTE('Special Help Table'!$A264,";",""))=0),'Special Help Table'!$A264,AND(LEN('Special Help Table'!$A264)-LEN(SUBSTITUTE('Special Help Table'!$A264,",","")=1),LEN('Special Help Table'!$A264)-LEN(SUBSTITUTE('Special Help Table'!$A264," ","")=20),LEN('Special Help Table'!$A264)-LEN(SUBSTITUTE('Special Help Table'!$A264," and",""))=0,LEN('Special Help Table'!$A264)-LEN(SUBSTITUTE('Special Help Table'!$A264,",","",FIND(" ",'Special Help Table'!$A264)+1))=0),RIGHT('Special Help Table'!$A264,LEN('Special Help Table'!$A264)-FIND(", ",'Special Help Table'!$A264))&amp;" "&amp;LEFT('Special Help Table'!$A264,FIND(",",'Special Help Table'!$A264)-1),AND(LEN('Special Help Table'!$A264)-LEN(SUBSTITUTE('Special Help Table'!$A264,"editor",""))=6,LEN('Special Help Table'!$A264)-LEN(SUBSTITUTE('Special Help Table'!$A264,"(",""))=0,LEN('Special Help Table'!$A264)-LEN(SUBSTITUTE('Special Help Table'!$A264,"and",""))=3,LEN('Special Help Table'!$A264)-LEN(SUBSTITUTE('Special Help Table'!$A264,",",""))=1,LEN('Special Help Table'!$A264)-LEN(SUBSTITUTE('Special Help Table'!$A264," ",""))=3),'Special Help Table'!$A264)</f>
        <v xml:space="preserve"> Timothy George</v>
      </c>
      <c r="C264" s="4" t="s">
        <v>536</v>
      </c>
      <c r="D264" s="2"/>
      <c r="E264" s="2" t="s">
        <v>16</v>
      </c>
      <c r="F264" s="2" t="s">
        <v>326</v>
      </c>
      <c r="G264" s="2"/>
      <c r="H264" s="2"/>
      <c r="I264" s="2"/>
      <c r="J264" s="2" t="s">
        <v>77</v>
      </c>
      <c r="K264" s="3">
        <v>40034</v>
      </c>
      <c r="L264" s="2"/>
      <c r="M264" s="2"/>
      <c r="N264" s="2" t="s">
        <v>18</v>
      </c>
    </row>
    <row r="265" spans="1:14" ht="15.75" customHeight="1" x14ac:dyDescent="0.35">
      <c r="A265" s="2" t="s">
        <v>537</v>
      </c>
      <c r="B265" s="2" t="str" cm="1">
        <f t="array" ref="B265">_xlfn.IFS(AND(LEN('Special Help Table'!$A265)-(LEN(SUBSTITUTE('Special Help Table'!$A265,";","")))=0,LEN('Special Help Table'!$A265)-LEN(SUBSTITUTE('Special Help Table'!$A265,",",""))=1,LEN('Special Help Table'!$A265)-LEN(SUBSTITUTE('Special Help Table'!$A265,"and ",""))=0),MID('Special Help Table'!$A265&amp;" "&amp;'Special Help Table'!$A265,SEARCH(", ",'Special Help Table'!$A265)+1,LEN('Special Help Table'!$A265)),AND(LEN('Special Help Table'!$A265)-(LEN(SUBSTITUTE('Special Help Table'!$A265,";","")))=1,LEN('Special Help Table'!$A265)-LEN(SUBSTITUTE('Special Help Table'!$A265,"and ",""))=0),MID('Special Help Table'!$A265,SEARCH(",",'Special Help Table'!$A265)+1,(SEARCH(";",'Special Help Table'!$A265)-1)-SEARCH(",",'Special Help Table'!$A265))&amp;" "&amp;LEFT('Special Help Table'!$A265,SEARCH(",",'Special Help Table'!$A265)-1)&amp;";"&amp;RIGHT('Special Help Table'!$A265,LEN('Special Help Table'!$A265)-SEARCH(",",'Special Help Table'!$A265,SEARCH(";",'Special Help Table'!$A265)))&amp;" "&amp;MID('Special Help Table'!$A265,SEARCH("; ",'Special Help Table'!$A265)+2,SEARCH(",",'Special Help Table'!$A265,SEARCH(";",'Special Help Table'!$A265))-SEARCH(";",'Special Help Table'!$A265)-2),AND(LEN('Special Help Table'!$A265)-LEN(SUBSTITUTE('Special Help Table'!$A265,"and ",""))=0,LEN('Special Help Table'!$A265)-LEN(SUBSTITUTE('Special Help Table'!$A265,";",""))=0),'Special Help Table'!$A265,AND(LEN('Special Help Table'!$A265)-LEN(SUBSTITUTE('Special Help Table'!$A265,",","")=1),LEN('Special Help Table'!$A265)-LEN(SUBSTITUTE('Special Help Table'!$A265," ","")=20),LEN('Special Help Table'!$A265)-LEN(SUBSTITUTE('Special Help Table'!$A265," and",""))=0,LEN('Special Help Table'!$A265)-LEN(SUBSTITUTE('Special Help Table'!$A265,",","",FIND(" ",'Special Help Table'!$A265)+1))=0),RIGHT('Special Help Table'!$A265,LEN('Special Help Table'!$A265)-FIND(", ",'Special Help Table'!$A265))&amp;" "&amp;LEFT('Special Help Table'!$A265,FIND(",",'Special Help Table'!$A265)-1),AND(LEN('Special Help Table'!$A265)-LEN(SUBSTITUTE('Special Help Table'!$A265,"editor",""))=6,LEN('Special Help Table'!$A265)-LEN(SUBSTITUTE('Special Help Table'!$A265,"(",""))=0,LEN('Special Help Table'!$A265)-LEN(SUBSTITUTE('Special Help Table'!$A265,"and",""))=3,LEN('Special Help Table'!$A265)-LEN(SUBSTITUTE('Special Help Table'!$A265,",",""))=1,LEN('Special Help Table'!$A265)-LEN(SUBSTITUTE('Special Help Table'!$A265," ",""))=3),'Special Help Table'!$A265)</f>
        <v xml:space="preserve"> Gene A. Getz</v>
      </c>
      <c r="C265" s="4" t="s">
        <v>538</v>
      </c>
      <c r="D265" s="2"/>
      <c r="E265" s="2" t="s">
        <v>16</v>
      </c>
      <c r="F265" s="2" t="s">
        <v>33</v>
      </c>
      <c r="G265" s="2"/>
      <c r="H265" s="2"/>
      <c r="I265" s="2"/>
      <c r="J265" s="2" t="s">
        <v>52</v>
      </c>
      <c r="K265" s="3">
        <v>40034</v>
      </c>
      <c r="L265" s="2"/>
      <c r="M265" s="2"/>
      <c r="N265" s="2" t="s">
        <v>18</v>
      </c>
    </row>
    <row r="266" spans="1:14" ht="15.75" customHeight="1" x14ac:dyDescent="0.35">
      <c r="A266" s="2" t="s">
        <v>539</v>
      </c>
      <c r="B266" s="2" t="str" cm="1">
        <f t="array" ref="B266">_xlfn.IFS(AND(LEN('Special Help Table'!$A266)-(LEN(SUBSTITUTE('Special Help Table'!$A266,";","")))=0,LEN('Special Help Table'!$A266)-LEN(SUBSTITUTE('Special Help Table'!$A266,",",""))=1,LEN('Special Help Table'!$A266)-LEN(SUBSTITUTE('Special Help Table'!$A266,"and ",""))=0),MID('Special Help Table'!$A266&amp;" "&amp;'Special Help Table'!$A266,SEARCH(", ",'Special Help Table'!$A266)+1,LEN('Special Help Table'!$A266)),AND(LEN('Special Help Table'!$A266)-(LEN(SUBSTITUTE('Special Help Table'!$A266,";","")))=1,LEN('Special Help Table'!$A266)-LEN(SUBSTITUTE('Special Help Table'!$A266,"and ",""))=0),MID('Special Help Table'!$A266,SEARCH(",",'Special Help Table'!$A266)+1,(SEARCH(";",'Special Help Table'!$A266)-1)-SEARCH(",",'Special Help Table'!$A266))&amp;" "&amp;LEFT('Special Help Table'!$A266,SEARCH(",",'Special Help Table'!$A266)-1)&amp;";"&amp;RIGHT('Special Help Table'!$A266,LEN('Special Help Table'!$A266)-SEARCH(",",'Special Help Table'!$A266,SEARCH(";",'Special Help Table'!$A266)))&amp;" "&amp;MID('Special Help Table'!$A266,SEARCH("; ",'Special Help Table'!$A266)+2,SEARCH(",",'Special Help Table'!$A266,SEARCH(";",'Special Help Table'!$A266))-SEARCH(";",'Special Help Table'!$A266)-2),AND(LEN('Special Help Table'!$A266)-LEN(SUBSTITUTE('Special Help Table'!$A266,"and ",""))=0,LEN('Special Help Table'!$A266)-LEN(SUBSTITUTE('Special Help Table'!$A266,";",""))=0),'Special Help Table'!$A266,AND(LEN('Special Help Table'!$A266)-LEN(SUBSTITUTE('Special Help Table'!$A266,",","")=1),LEN('Special Help Table'!$A266)-LEN(SUBSTITUTE('Special Help Table'!$A266," ","")=20),LEN('Special Help Table'!$A266)-LEN(SUBSTITUTE('Special Help Table'!$A266," and",""))=0,LEN('Special Help Table'!$A266)-LEN(SUBSTITUTE('Special Help Table'!$A266,",","",FIND(" ",'Special Help Table'!$A266)+1))=0),RIGHT('Special Help Table'!$A266,LEN('Special Help Table'!$A266)-FIND(", ",'Special Help Table'!$A266))&amp;" "&amp;LEFT('Special Help Table'!$A266,FIND(",",'Special Help Table'!$A266)-1),AND(LEN('Special Help Table'!$A266)-LEN(SUBSTITUTE('Special Help Table'!$A266,"editor",""))=6,LEN('Special Help Table'!$A266)-LEN(SUBSTITUTE('Special Help Table'!$A266,"(",""))=0,LEN('Special Help Table'!$A266)-LEN(SUBSTITUTE('Special Help Table'!$A266,"and",""))=3,LEN('Special Help Table'!$A266)-LEN(SUBSTITUTE('Special Help Table'!$A266,",",""))=1,LEN('Special Help Table'!$A266)-LEN(SUBSTITUTE('Special Help Table'!$A266," ",""))=3),'Special Help Table'!$A266)</f>
        <v xml:space="preserve"> David Gibson</v>
      </c>
      <c r="C266" s="4" t="s">
        <v>540</v>
      </c>
      <c r="D266" s="2"/>
      <c r="E266" s="2" t="s">
        <v>16</v>
      </c>
      <c r="F266" s="2" t="s">
        <v>36</v>
      </c>
      <c r="G266" s="2"/>
      <c r="H266" s="2"/>
      <c r="I266" s="2"/>
      <c r="J266" s="2"/>
      <c r="K266" s="3">
        <v>43095</v>
      </c>
      <c r="L266" s="2"/>
      <c r="M266" s="2"/>
      <c r="N266" s="2" t="s">
        <v>18</v>
      </c>
    </row>
    <row r="267" spans="1:14" ht="15.75" customHeight="1" x14ac:dyDescent="0.35">
      <c r="A267" s="2" t="s">
        <v>541</v>
      </c>
      <c r="B267" s="2" t="str" cm="1">
        <f t="array" ref="B267">_xlfn.IFS(AND(LEN('Special Help Table'!$A267)-(LEN(SUBSTITUTE('Special Help Table'!$A267,";","")))=0,LEN('Special Help Table'!$A267)-LEN(SUBSTITUTE('Special Help Table'!$A267,",",""))=1,LEN('Special Help Table'!$A267)-LEN(SUBSTITUTE('Special Help Table'!$A267,"and ",""))=0),MID('Special Help Table'!$A267&amp;" "&amp;'Special Help Table'!$A267,SEARCH(", ",'Special Help Table'!$A267)+1,LEN('Special Help Table'!$A267)),AND(LEN('Special Help Table'!$A267)-(LEN(SUBSTITUTE('Special Help Table'!$A267,";","")))=1,LEN('Special Help Table'!$A267)-LEN(SUBSTITUTE('Special Help Table'!$A267,"and ",""))=0),MID('Special Help Table'!$A267,SEARCH(",",'Special Help Table'!$A267)+1,(SEARCH(";",'Special Help Table'!$A267)-1)-SEARCH(",",'Special Help Table'!$A267))&amp;" "&amp;LEFT('Special Help Table'!$A267,SEARCH(",",'Special Help Table'!$A267)-1)&amp;";"&amp;RIGHT('Special Help Table'!$A267,LEN('Special Help Table'!$A267)-SEARCH(",",'Special Help Table'!$A267,SEARCH(";",'Special Help Table'!$A267)))&amp;" "&amp;MID('Special Help Table'!$A267,SEARCH("; ",'Special Help Table'!$A267)+2,SEARCH(",",'Special Help Table'!$A267,SEARCH(";",'Special Help Table'!$A267))-SEARCH(";",'Special Help Table'!$A267)-2),AND(LEN('Special Help Table'!$A267)-LEN(SUBSTITUTE('Special Help Table'!$A267,"and ",""))=0,LEN('Special Help Table'!$A267)-LEN(SUBSTITUTE('Special Help Table'!$A267,";",""))=0),'Special Help Table'!$A267,AND(LEN('Special Help Table'!$A267)-LEN(SUBSTITUTE('Special Help Table'!$A267,",","")=1),LEN('Special Help Table'!$A267)-LEN(SUBSTITUTE('Special Help Table'!$A267," ","")=20),LEN('Special Help Table'!$A267)-LEN(SUBSTITUTE('Special Help Table'!$A267," and",""))=0,LEN('Special Help Table'!$A267)-LEN(SUBSTITUTE('Special Help Table'!$A267,",","",FIND(" ",'Special Help Table'!$A267)+1))=0),RIGHT('Special Help Table'!$A267,LEN('Special Help Table'!$A267)-FIND(", ",'Special Help Table'!$A267))&amp;" "&amp;LEFT('Special Help Table'!$A267,FIND(",",'Special Help Table'!$A267)-1),AND(LEN('Special Help Table'!$A267)-LEN(SUBSTITUTE('Special Help Table'!$A267,"editor",""))=6,LEN('Special Help Table'!$A267)-LEN(SUBSTITUTE('Special Help Table'!$A267,"(",""))=0,LEN('Special Help Table'!$A267)-LEN(SUBSTITUTE('Special Help Table'!$A267,"and",""))=3,LEN('Special Help Table'!$A267)-LEN(SUBSTITUTE('Special Help Table'!$A267,",",""))=1,LEN('Special Help Table'!$A267)-LEN(SUBSTITUTE('Special Help Table'!$A267," ",""))=3),'Special Help Table'!$A267)</f>
        <v xml:space="preserve"> Jonathan Gibson</v>
      </c>
      <c r="C267" s="4" t="s">
        <v>542</v>
      </c>
      <c r="D267" s="2"/>
      <c r="E267" s="2" t="s">
        <v>16</v>
      </c>
      <c r="F267" s="2" t="s">
        <v>72</v>
      </c>
      <c r="G267" s="2"/>
      <c r="H267" s="2"/>
      <c r="I267" s="2"/>
      <c r="J267" s="2" t="s">
        <v>188</v>
      </c>
      <c r="K267" s="3">
        <v>43832</v>
      </c>
      <c r="L267" s="2"/>
      <c r="M267" s="2"/>
      <c r="N267" s="2" t="s">
        <v>18</v>
      </c>
    </row>
    <row r="268" spans="1:14" ht="15.75" customHeight="1" x14ac:dyDescent="0.35">
      <c r="A268" s="2" t="s">
        <v>543</v>
      </c>
      <c r="B268" s="2" t="str" cm="1">
        <f t="array" ref="B268">_xlfn.IFS(AND(LEN('Special Help Table'!$A268)-(LEN(SUBSTITUTE('Special Help Table'!$A268,";","")))=0,LEN('Special Help Table'!$A268)-LEN(SUBSTITUTE('Special Help Table'!$A268,",",""))=1,LEN('Special Help Table'!$A268)-LEN(SUBSTITUTE('Special Help Table'!$A268,"and ",""))=0),MID('Special Help Table'!$A268&amp;" "&amp;'Special Help Table'!$A268,SEARCH(", ",'Special Help Table'!$A268)+1,LEN('Special Help Table'!$A268)),AND(LEN('Special Help Table'!$A268)-(LEN(SUBSTITUTE('Special Help Table'!$A268,";","")))=1,LEN('Special Help Table'!$A268)-LEN(SUBSTITUTE('Special Help Table'!$A268,"and ",""))=0),MID('Special Help Table'!$A268,SEARCH(",",'Special Help Table'!$A268)+1,(SEARCH(";",'Special Help Table'!$A268)-1)-SEARCH(",",'Special Help Table'!$A268))&amp;" "&amp;LEFT('Special Help Table'!$A268,SEARCH(",",'Special Help Table'!$A268)-1)&amp;";"&amp;RIGHT('Special Help Table'!$A268,LEN('Special Help Table'!$A268)-SEARCH(",",'Special Help Table'!$A268,SEARCH(";",'Special Help Table'!$A268)))&amp;" "&amp;MID('Special Help Table'!$A268,SEARCH("; ",'Special Help Table'!$A268)+2,SEARCH(",",'Special Help Table'!$A268,SEARCH(";",'Special Help Table'!$A268))-SEARCH(";",'Special Help Table'!$A268)-2),AND(LEN('Special Help Table'!$A268)-LEN(SUBSTITUTE('Special Help Table'!$A268,"and ",""))=0,LEN('Special Help Table'!$A268)-LEN(SUBSTITUTE('Special Help Table'!$A268,";",""))=0),'Special Help Table'!$A268,AND(LEN('Special Help Table'!$A268)-LEN(SUBSTITUTE('Special Help Table'!$A268,",","")=1),LEN('Special Help Table'!$A268)-LEN(SUBSTITUTE('Special Help Table'!$A268," ","")=20),LEN('Special Help Table'!$A268)-LEN(SUBSTITUTE('Special Help Table'!$A268," and",""))=0,LEN('Special Help Table'!$A268)-LEN(SUBSTITUTE('Special Help Table'!$A268,",","",FIND(" ",'Special Help Table'!$A268)+1))=0),RIGHT('Special Help Table'!$A268,LEN('Special Help Table'!$A268)-FIND(", ",'Special Help Table'!$A268))&amp;" "&amp;LEFT('Special Help Table'!$A268,FIND(",",'Special Help Table'!$A268)-1),AND(LEN('Special Help Table'!$A268)-LEN(SUBSTITUTE('Special Help Table'!$A268,"editor",""))=6,LEN('Special Help Table'!$A268)-LEN(SUBSTITUTE('Special Help Table'!$A268,"(",""))=0,LEN('Special Help Table'!$A268)-LEN(SUBSTITUTE('Special Help Table'!$A268,"and",""))=3,LEN('Special Help Table'!$A268)-LEN(SUBSTITUTE('Special Help Table'!$A268,",",""))=1,LEN('Special Help Table'!$A268)-LEN(SUBSTITUTE('Special Help Table'!$A268," ",""))=3),'Special Help Table'!$A268)</f>
        <v xml:space="preserve"> Greg Gilbert</v>
      </c>
      <c r="C268" s="4" t="s">
        <v>544</v>
      </c>
      <c r="D268" s="2"/>
      <c r="E268" s="2" t="s">
        <v>16</v>
      </c>
      <c r="F268" s="2" t="s">
        <v>126</v>
      </c>
      <c r="G268" s="2"/>
      <c r="H268" s="2"/>
      <c r="I268" s="2"/>
      <c r="J268" s="2" t="s">
        <v>545</v>
      </c>
      <c r="K268" s="3">
        <v>43704</v>
      </c>
      <c r="L268" s="2"/>
      <c r="M268" s="2"/>
      <c r="N268" s="2" t="s">
        <v>18</v>
      </c>
    </row>
    <row r="269" spans="1:14" ht="15.75" customHeight="1" x14ac:dyDescent="0.35">
      <c r="A269" s="2" t="s">
        <v>543</v>
      </c>
      <c r="B269" s="2" t="str" cm="1">
        <f t="array" ref="B269">_xlfn.IFS(AND(LEN('Special Help Table'!$A269)-(LEN(SUBSTITUTE('Special Help Table'!$A269,";","")))=0,LEN('Special Help Table'!$A269)-LEN(SUBSTITUTE('Special Help Table'!$A269,",",""))=1,LEN('Special Help Table'!$A269)-LEN(SUBSTITUTE('Special Help Table'!$A269,"and ",""))=0),MID('Special Help Table'!$A269&amp;" "&amp;'Special Help Table'!$A269,SEARCH(", ",'Special Help Table'!$A269)+1,LEN('Special Help Table'!$A269)),AND(LEN('Special Help Table'!$A269)-(LEN(SUBSTITUTE('Special Help Table'!$A269,";","")))=1,LEN('Special Help Table'!$A269)-LEN(SUBSTITUTE('Special Help Table'!$A269,"and ",""))=0),MID('Special Help Table'!$A269,SEARCH(",",'Special Help Table'!$A269)+1,(SEARCH(";",'Special Help Table'!$A269)-1)-SEARCH(",",'Special Help Table'!$A269))&amp;" "&amp;LEFT('Special Help Table'!$A269,SEARCH(",",'Special Help Table'!$A269)-1)&amp;";"&amp;RIGHT('Special Help Table'!$A269,LEN('Special Help Table'!$A269)-SEARCH(",",'Special Help Table'!$A269,SEARCH(";",'Special Help Table'!$A269)))&amp;" "&amp;MID('Special Help Table'!$A269,SEARCH("; ",'Special Help Table'!$A269)+2,SEARCH(",",'Special Help Table'!$A269,SEARCH(";",'Special Help Table'!$A269))-SEARCH(";",'Special Help Table'!$A269)-2),AND(LEN('Special Help Table'!$A269)-LEN(SUBSTITUTE('Special Help Table'!$A269,"and ",""))=0,LEN('Special Help Table'!$A269)-LEN(SUBSTITUTE('Special Help Table'!$A269,";",""))=0),'Special Help Table'!$A269,AND(LEN('Special Help Table'!$A269)-LEN(SUBSTITUTE('Special Help Table'!$A269,",","")=1),LEN('Special Help Table'!$A269)-LEN(SUBSTITUTE('Special Help Table'!$A269," ","")=20),LEN('Special Help Table'!$A269)-LEN(SUBSTITUTE('Special Help Table'!$A269," and",""))=0,LEN('Special Help Table'!$A269)-LEN(SUBSTITUTE('Special Help Table'!$A269,",","",FIND(" ",'Special Help Table'!$A269)+1))=0),RIGHT('Special Help Table'!$A269,LEN('Special Help Table'!$A269)-FIND(", ",'Special Help Table'!$A269))&amp;" "&amp;LEFT('Special Help Table'!$A269,FIND(",",'Special Help Table'!$A269)-1),AND(LEN('Special Help Table'!$A269)-LEN(SUBSTITUTE('Special Help Table'!$A269,"editor",""))=6,LEN('Special Help Table'!$A269)-LEN(SUBSTITUTE('Special Help Table'!$A269,"(",""))=0,LEN('Special Help Table'!$A269)-LEN(SUBSTITUTE('Special Help Table'!$A269,"and",""))=3,LEN('Special Help Table'!$A269)-LEN(SUBSTITUTE('Special Help Table'!$A269,",",""))=1,LEN('Special Help Table'!$A269)-LEN(SUBSTITUTE('Special Help Table'!$A269," ",""))=3),'Special Help Table'!$A269)</f>
        <v xml:space="preserve"> Greg Gilbert</v>
      </c>
      <c r="C269" s="4" t="s">
        <v>546</v>
      </c>
      <c r="D269" s="2" t="s">
        <v>307</v>
      </c>
      <c r="E269" s="2" t="s">
        <v>16</v>
      </c>
      <c r="F269" s="2" t="s">
        <v>28</v>
      </c>
      <c r="G269" s="2"/>
      <c r="H269" s="2" t="s">
        <v>307</v>
      </c>
      <c r="I269" s="2"/>
      <c r="J269" s="2" t="s">
        <v>449</v>
      </c>
      <c r="K269" s="3">
        <v>42503</v>
      </c>
      <c r="L269" s="2"/>
      <c r="M269" s="2"/>
      <c r="N269" s="2" t="s">
        <v>18</v>
      </c>
    </row>
    <row r="270" spans="1:14" ht="15.75" customHeight="1" x14ac:dyDescent="0.35">
      <c r="A270" s="2" t="s">
        <v>543</v>
      </c>
      <c r="B270" s="2" t="str" cm="1">
        <f t="array" ref="B270">_xlfn.IFS(AND(LEN('Special Help Table'!$A270)-(LEN(SUBSTITUTE('Special Help Table'!$A270,";","")))=0,LEN('Special Help Table'!$A270)-LEN(SUBSTITUTE('Special Help Table'!$A270,",",""))=1,LEN('Special Help Table'!$A270)-LEN(SUBSTITUTE('Special Help Table'!$A270,"and ",""))=0),MID('Special Help Table'!$A270&amp;" "&amp;'Special Help Table'!$A270,SEARCH(", ",'Special Help Table'!$A270)+1,LEN('Special Help Table'!$A270)),AND(LEN('Special Help Table'!$A270)-(LEN(SUBSTITUTE('Special Help Table'!$A270,";","")))=1,LEN('Special Help Table'!$A270)-LEN(SUBSTITUTE('Special Help Table'!$A270,"and ",""))=0),MID('Special Help Table'!$A270,SEARCH(",",'Special Help Table'!$A270)+1,(SEARCH(";",'Special Help Table'!$A270)-1)-SEARCH(",",'Special Help Table'!$A270))&amp;" "&amp;LEFT('Special Help Table'!$A270,SEARCH(",",'Special Help Table'!$A270)-1)&amp;";"&amp;RIGHT('Special Help Table'!$A270,LEN('Special Help Table'!$A270)-SEARCH(",",'Special Help Table'!$A270,SEARCH(";",'Special Help Table'!$A270)))&amp;" "&amp;MID('Special Help Table'!$A270,SEARCH("; ",'Special Help Table'!$A270)+2,SEARCH(",",'Special Help Table'!$A270,SEARCH(";",'Special Help Table'!$A270))-SEARCH(";",'Special Help Table'!$A270)-2),AND(LEN('Special Help Table'!$A270)-LEN(SUBSTITUTE('Special Help Table'!$A270,"and ",""))=0,LEN('Special Help Table'!$A270)-LEN(SUBSTITUTE('Special Help Table'!$A270,";",""))=0),'Special Help Table'!$A270,AND(LEN('Special Help Table'!$A270)-LEN(SUBSTITUTE('Special Help Table'!$A270,",","")=1),LEN('Special Help Table'!$A270)-LEN(SUBSTITUTE('Special Help Table'!$A270," ","")=20),LEN('Special Help Table'!$A270)-LEN(SUBSTITUTE('Special Help Table'!$A270," and",""))=0,LEN('Special Help Table'!$A270)-LEN(SUBSTITUTE('Special Help Table'!$A270,",","",FIND(" ",'Special Help Table'!$A270)+1))=0),RIGHT('Special Help Table'!$A270,LEN('Special Help Table'!$A270)-FIND(", ",'Special Help Table'!$A270))&amp;" "&amp;LEFT('Special Help Table'!$A270,FIND(",",'Special Help Table'!$A270)-1),AND(LEN('Special Help Table'!$A270)-LEN(SUBSTITUTE('Special Help Table'!$A270,"editor",""))=6,LEN('Special Help Table'!$A270)-LEN(SUBSTITUTE('Special Help Table'!$A270,"(",""))=0,LEN('Special Help Table'!$A270)-LEN(SUBSTITUTE('Special Help Table'!$A270,"and",""))=3,LEN('Special Help Table'!$A270)-LEN(SUBSTITUTE('Special Help Table'!$A270,",",""))=1,LEN('Special Help Table'!$A270)-LEN(SUBSTITUTE('Special Help Table'!$A270," ",""))=3),'Special Help Table'!$A270)</f>
        <v xml:space="preserve"> Greg Gilbert</v>
      </c>
      <c r="C270" s="4" t="s">
        <v>547</v>
      </c>
      <c r="D270" s="2"/>
      <c r="E270" s="2" t="s">
        <v>16</v>
      </c>
      <c r="F270" s="2" t="s">
        <v>76</v>
      </c>
      <c r="G270" s="2"/>
      <c r="H270" s="2"/>
      <c r="I270" s="2"/>
      <c r="J270" s="2"/>
      <c r="K270" s="3">
        <v>42503</v>
      </c>
      <c r="L270" s="2"/>
      <c r="M270" s="2"/>
      <c r="N270" s="2" t="s">
        <v>18</v>
      </c>
    </row>
    <row r="271" spans="1:14" ht="15.75" customHeight="1" x14ac:dyDescent="0.35">
      <c r="A271" s="2" t="s">
        <v>548</v>
      </c>
      <c r="B271" s="2" t="str" cm="1">
        <f t="array" ref="B271">_xlfn.IFS(AND(LEN('Special Help Table'!$A271)-(LEN(SUBSTITUTE('Special Help Table'!$A271,";","")))=0,LEN('Special Help Table'!$A271)-LEN(SUBSTITUTE('Special Help Table'!$A271,",",""))=1,LEN('Special Help Table'!$A271)-LEN(SUBSTITUTE('Special Help Table'!$A271,"and ",""))=0),MID('Special Help Table'!$A271&amp;" "&amp;'Special Help Table'!$A271,SEARCH(", ",'Special Help Table'!$A271)+1,LEN('Special Help Table'!$A271)),AND(LEN('Special Help Table'!$A271)-(LEN(SUBSTITUTE('Special Help Table'!$A271,";","")))=1,LEN('Special Help Table'!$A271)-LEN(SUBSTITUTE('Special Help Table'!$A271,"and ",""))=0),MID('Special Help Table'!$A271,SEARCH(",",'Special Help Table'!$A271)+1,(SEARCH(";",'Special Help Table'!$A271)-1)-SEARCH(",",'Special Help Table'!$A271))&amp;" "&amp;LEFT('Special Help Table'!$A271,SEARCH(",",'Special Help Table'!$A271)-1)&amp;";"&amp;RIGHT('Special Help Table'!$A271,LEN('Special Help Table'!$A271)-SEARCH(",",'Special Help Table'!$A271,SEARCH(";",'Special Help Table'!$A271)))&amp;" "&amp;MID('Special Help Table'!$A271,SEARCH("; ",'Special Help Table'!$A271)+2,SEARCH(",",'Special Help Table'!$A271,SEARCH(";",'Special Help Table'!$A271))-SEARCH(";",'Special Help Table'!$A271)-2),AND(LEN('Special Help Table'!$A271)-LEN(SUBSTITUTE('Special Help Table'!$A271,"and ",""))=0,LEN('Special Help Table'!$A271)-LEN(SUBSTITUTE('Special Help Table'!$A271,";",""))=0),'Special Help Table'!$A271,AND(LEN('Special Help Table'!$A271)-LEN(SUBSTITUTE('Special Help Table'!$A271,",","")=1),LEN('Special Help Table'!$A271)-LEN(SUBSTITUTE('Special Help Table'!$A271," ","")=20),LEN('Special Help Table'!$A271)-LEN(SUBSTITUTE('Special Help Table'!$A271," and",""))=0,LEN('Special Help Table'!$A271)-LEN(SUBSTITUTE('Special Help Table'!$A271,",","",FIND(" ",'Special Help Table'!$A271)+1))=0),RIGHT('Special Help Table'!$A271,LEN('Special Help Table'!$A271)-FIND(", ",'Special Help Table'!$A271))&amp;" "&amp;LEFT('Special Help Table'!$A271,FIND(",",'Special Help Table'!$A271)-1),AND(LEN('Special Help Table'!$A271)-LEN(SUBSTITUTE('Special Help Table'!$A271,"editor",""))=6,LEN('Special Help Table'!$A271)-LEN(SUBSTITUTE('Special Help Table'!$A271,"(",""))=0,LEN('Special Help Table'!$A271)-LEN(SUBSTITUTE('Special Help Table'!$A271,"and",""))=3,LEN('Special Help Table'!$A271)-LEN(SUBSTITUTE('Special Help Table'!$A271,",",""))=1,LEN('Special Help Table'!$A271)-LEN(SUBSTITUTE('Special Help Table'!$A271," ",""))=3),'Special Help Table'!$A271)</f>
        <v xml:space="preserve"> Gary E.  Gilley</v>
      </c>
      <c r="C271" s="4" t="s">
        <v>549</v>
      </c>
      <c r="D271" s="2"/>
      <c r="E271" s="2" t="s">
        <v>16</v>
      </c>
      <c r="F271" s="2" t="s">
        <v>33</v>
      </c>
      <c r="G271" s="2"/>
      <c r="H271" s="2"/>
      <c r="I271" s="2"/>
      <c r="J271" s="2"/>
      <c r="K271" s="3">
        <v>40034</v>
      </c>
      <c r="L271" s="2"/>
      <c r="M271" s="2"/>
      <c r="N271" s="2" t="s">
        <v>18</v>
      </c>
    </row>
    <row r="272" spans="1:14" ht="15.75" customHeight="1" x14ac:dyDescent="0.35">
      <c r="A272" s="2" t="s">
        <v>548</v>
      </c>
      <c r="B272" s="2" t="str" cm="1">
        <f t="array" ref="B272">_xlfn.IFS(AND(LEN('Special Help Table'!$A272)-(LEN(SUBSTITUTE('Special Help Table'!$A272,";","")))=0,LEN('Special Help Table'!$A272)-LEN(SUBSTITUTE('Special Help Table'!$A272,",",""))=1,LEN('Special Help Table'!$A272)-LEN(SUBSTITUTE('Special Help Table'!$A272,"and ",""))=0),MID('Special Help Table'!$A272&amp;" "&amp;'Special Help Table'!$A272,SEARCH(", ",'Special Help Table'!$A272)+1,LEN('Special Help Table'!$A272)),AND(LEN('Special Help Table'!$A272)-(LEN(SUBSTITUTE('Special Help Table'!$A272,";","")))=1,LEN('Special Help Table'!$A272)-LEN(SUBSTITUTE('Special Help Table'!$A272,"and ",""))=0),MID('Special Help Table'!$A272,SEARCH(",",'Special Help Table'!$A272)+1,(SEARCH(";",'Special Help Table'!$A272)-1)-SEARCH(",",'Special Help Table'!$A272))&amp;" "&amp;LEFT('Special Help Table'!$A272,SEARCH(",",'Special Help Table'!$A272)-1)&amp;";"&amp;RIGHT('Special Help Table'!$A272,LEN('Special Help Table'!$A272)-SEARCH(",",'Special Help Table'!$A272,SEARCH(";",'Special Help Table'!$A272)))&amp;" "&amp;MID('Special Help Table'!$A272,SEARCH("; ",'Special Help Table'!$A272)+2,SEARCH(",",'Special Help Table'!$A272,SEARCH(";",'Special Help Table'!$A272))-SEARCH(";",'Special Help Table'!$A272)-2),AND(LEN('Special Help Table'!$A272)-LEN(SUBSTITUTE('Special Help Table'!$A272,"and ",""))=0,LEN('Special Help Table'!$A272)-LEN(SUBSTITUTE('Special Help Table'!$A272,";",""))=0),'Special Help Table'!$A272,AND(LEN('Special Help Table'!$A272)-LEN(SUBSTITUTE('Special Help Table'!$A272,",","")=1),LEN('Special Help Table'!$A272)-LEN(SUBSTITUTE('Special Help Table'!$A272," ","")=20),LEN('Special Help Table'!$A272)-LEN(SUBSTITUTE('Special Help Table'!$A272," and",""))=0,LEN('Special Help Table'!$A272)-LEN(SUBSTITUTE('Special Help Table'!$A272,",","",FIND(" ",'Special Help Table'!$A272)+1))=0),RIGHT('Special Help Table'!$A272,LEN('Special Help Table'!$A272)-FIND(", ",'Special Help Table'!$A272))&amp;" "&amp;LEFT('Special Help Table'!$A272,FIND(",",'Special Help Table'!$A272)-1),AND(LEN('Special Help Table'!$A272)-LEN(SUBSTITUTE('Special Help Table'!$A272,"editor",""))=6,LEN('Special Help Table'!$A272)-LEN(SUBSTITUTE('Special Help Table'!$A272,"(",""))=0,LEN('Special Help Table'!$A272)-LEN(SUBSTITUTE('Special Help Table'!$A272,"and",""))=3,LEN('Special Help Table'!$A272)-LEN(SUBSTITUTE('Special Help Table'!$A272,",",""))=1,LEN('Special Help Table'!$A272)-LEN(SUBSTITUTE('Special Help Table'!$A272," ",""))=3),'Special Help Table'!$A272)</f>
        <v xml:space="preserve"> Gary E.  Gilley</v>
      </c>
      <c r="C272" s="4" t="s">
        <v>550</v>
      </c>
      <c r="D272" s="2"/>
      <c r="E272" s="2" t="s">
        <v>16</v>
      </c>
      <c r="F272" s="2" t="s">
        <v>33</v>
      </c>
      <c r="G272" s="2"/>
      <c r="H272" s="2"/>
      <c r="I272" s="2"/>
      <c r="J272" s="2" t="s">
        <v>551</v>
      </c>
      <c r="K272" s="3">
        <v>40034</v>
      </c>
      <c r="L272" s="2"/>
      <c r="M272" s="2"/>
      <c r="N272" s="2" t="s">
        <v>18</v>
      </c>
    </row>
    <row r="273" spans="1:14" ht="15.75" customHeight="1" x14ac:dyDescent="0.35">
      <c r="A273" s="2" t="s">
        <v>552</v>
      </c>
      <c r="B273" s="2" t="str" cm="1">
        <f t="array" ref="B273">_xlfn.IFS(AND(LEN('Special Help Table'!$A273)-(LEN(SUBSTITUTE('Special Help Table'!$A273,";","")))=0,LEN('Special Help Table'!$A273)-LEN(SUBSTITUTE('Special Help Table'!$A273,",",""))=1,LEN('Special Help Table'!$A273)-LEN(SUBSTITUTE('Special Help Table'!$A273,"and ",""))=0),MID('Special Help Table'!$A273&amp;" "&amp;'Special Help Table'!$A273,SEARCH(", ",'Special Help Table'!$A273)+1,LEN('Special Help Table'!$A273)),AND(LEN('Special Help Table'!$A273)-(LEN(SUBSTITUTE('Special Help Table'!$A273,";","")))=1,LEN('Special Help Table'!$A273)-LEN(SUBSTITUTE('Special Help Table'!$A273,"and ",""))=0),MID('Special Help Table'!$A273,SEARCH(",",'Special Help Table'!$A273)+1,(SEARCH(";",'Special Help Table'!$A273)-1)-SEARCH(",",'Special Help Table'!$A273))&amp;" "&amp;LEFT('Special Help Table'!$A273,SEARCH(",",'Special Help Table'!$A273)-1)&amp;";"&amp;RIGHT('Special Help Table'!$A273,LEN('Special Help Table'!$A273)-SEARCH(",",'Special Help Table'!$A273,SEARCH(";",'Special Help Table'!$A273)))&amp;" "&amp;MID('Special Help Table'!$A273,SEARCH("; ",'Special Help Table'!$A273)+2,SEARCH(",",'Special Help Table'!$A273,SEARCH(";",'Special Help Table'!$A273))-SEARCH(";",'Special Help Table'!$A273)-2),AND(LEN('Special Help Table'!$A273)-LEN(SUBSTITUTE('Special Help Table'!$A273,"and ",""))=0,LEN('Special Help Table'!$A273)-LEN(SUBSTITUTE('Special Help Table'!$A273,";",""))=0),'Special Help Table'!$A273,AND(LEN('Special Help Table'!$A273)-LEN(SUBSTITUTE('Special Help Table'!$A273,",","")=1),LEN('Special Help Table'!$A273)-LEN(SUBSTITUTE('Special Help Table'!$A273," ","")=20),LEN('Special Help Table'!$A273)-LEN(SUBSTITUTE('Special Help Table'!$A273," and",""))=0,LEN('Special Help Table'!$A273)-LEN(SUBSTITUTE('Special Help Table'!$A273,",","",FIND(" ",'Special Help Table'!$A273)+1))=0),RIGHT('Special Help Table'!$A273,LEN('Special Help Table'!$A273)-FIND(", ",'Special Help Table'!$A273))&amp;" "&amp;LEFT('Special Help Table'!$A273,FIND(",",'Special Help Table'!$A273)-1),AND(LEN('Special Help Table'!$A273)-LEN(SUBSTITUTE('Special Help Table'!$A273,"editor",""))=6,LEN('Special Help Table'!$A273)-LEN(SUBSTITUTE('Special Help Table'!$A273,"(",""))=0,LEN('Special Help Table'!$A273)-LEN(SUBSTITUTE('Special Help Table'!$A273,"and",""))=3,LEN('Special Help Table'!$A273)-LEN(SUBSTITUTE('Special Help Table'!$A273,",",""))=1,LEN('Special Help Table'!$A273)-LEN(SUBSTITUTE('Special Help Table'!$A273," ",""))=3),'Special Help Table'!$A273)</f>
        <v xml:space="preserve"> R.W. Glenn</v>
      </c>
      <c r="C273" s="4" t="s">
        <v>553</v>
      </c>
      <c r="D273" s="2"/>
      <c r="E273" s="2" t="s">
        <v>16</v>
      </c>
      <c r="F273" s="2" t="s">
        <v>28</v>
      </c>
      <c r="G273" s="2"/>
      <c r="H273" s="2"/>
      <c r="I273" s="2"/>
      <c r="J273" s="2" t="s">
        <v>449</v>
      </c>
      <c r="K273" s="3">
        <v>41530</v>
      </c>
      <c r="L273" s="2"/>
      <c r="M273" s="2"/>
      <c r="N273" s="2" t="s">
        <v>18</v>
      </c>
    </row>
    <row r="274" spans="1:14" ht="15.75" customHeight="1" x14ac:dyDescent="0.35">
      <c r="A274" s="2" t="s">
        <v>554</v>
      </c>
      <c r="B274" s="2" t="str" cm="1">
        <f t="array" ref="B274">_xlfn.IFS(AND(LEN('Special Help Table'!$A274)-(LEN(SUBSTITUTE('Special Help Table'!$A274,";","")))=0,LEN('Special Help Table'!$A274)-LEN(SUBSTITUTE('Special Help Table'!$A274,",",""))=1,LEN('Special Help Table'!$A274)-LEN(SUBSTITUTE('Special Help Table'!$A274,"and ",""))=0),MID('Special Help Table'!$A274&amp;" "&amp;'Special Help Table'!$A274,SEARCH(", ",'Special Help Table'!$A274)+1,LEN('Special Help Table'!$A274)),AND(LEN('Special Help Table'!$A274)-(LEN(SUBSTITUTE('Special Help Table'!$A274,";","")))=1,LEN('Special Help Table'!$A274)-LEN(SUBSTITUTE('Special Help Table'!$A274,"and ",""))=0),MID('Special Help Table'!$A274,SEARCH(",",'Special Help Table'!$A274)+1,(SEARCH(";",'Special Help Table'!$A274)-1)-SEARCH(",",'Special Help Table'!$A274))&amp;" "&amp;LEFT('Special Help Table'!$A274,SEARCH(",",'Special Help Table'!$A274)-1)&amp;";"&amp;RIGHT('Special Help Table'!$A274,LEN('Special Help Table'!$A274)-SEARCH(",",'Special Help Table'!$A274,SEARCH(";",'Special Help Table'!$A274)))&amp;" "&amp;MID('Special Help Table'!$A274,SEARCH("; ",'Special Help Table'!$A274)+2,SEARCH(",",'Special Help Table'!$A274,SEARCH(";",'Special Help Table'!$A274))-SEARCH(";",'Special Help Table'!$A274)-2),AND(LEN('Special Help Table'!$A274)-LEN(SUBSTITUTE('Special Help Table'!$A274,"and ",""))=0,LEN('Special Help Table'!$A274)-LEN(SUBSTITUTE('Special Help Table'!$A274,";",""))=0),'Special Help Table'!$A274,AND(LEN('Special Help Table'!$A274)-LEN(SUBSTITUTE('Special Help Table'!$A274,",","")=1),LEN('Special Help Table'!$A274)-LEN(SUBSTITUTE('Special Help Table'!$A274," ","")=20),LEN('Special Help Table'!$A274)-LEN(SUBSTITUTE('Special Help Table'!$A274," and",""))=0,LEN('Special Help Table'!$A274)-LEN(SUBSTITUTE('Special Help Table'!$A274,",","",FIND(" ",'Special Help Table'!$A274)+1))=0),RIGHT('Special Help Table'!$A274,LEN('Special Help Table'!$A274)-FIND(", ",'Special Help Table'!$A274))&amp;" "&amp;LEFT('Special Help Table'!$A274,FIND(",",'Special Help Table'!$A274)-1),AND(LEN('Special Help Table'!$A274)-LEN(SUBSTITUTE('Special Help Table'!$A274,"editor",""))=6,LEN('Special Help Table'!$A274)-LEN(SUBSTITUTE('Special Help Table'!$A274,"(",""))=0,LEN('Special Help Table'!$A274)-LEN(SUBSTITUTE('Special Help Table'!$A274,"and",""))=3,LEN('Special Help Table'!$A274)-LEN(SUBSTITUTE('Special Help Table'!$A274,",",""))=1,LEN('Special Help Table'!$A274)-LEN(SUBSTITUTE('Special Help Table'!$A274," ",""))=3),'Special Help Table'!$A274)</f>
        <v xml:space="preserve"> Graeme Godlsworthy</v>
      </c>
      <c r="C274" s="4" t="s">
        <v>555</v>
      </c>
      <c r="D274" s="2"/>
      <c r="E274" s="2" t="s">
        <v>16</v>
      </c>
      <c r="F274" s="2" t="s">
        <v>28</v>
      </c>
      <c r="G274" s="2"/>
      <c r="H274" s="2"/>
      <c r="I274" s="2"/>
      <c r="J274" s="2"/>
      <c r="K274" s="3"/>
      <c r="L274" s="2"/>
      <c r="M274" s="2"/>
      <c r="N274" s="2" t="s">
        <v>18</v>
      </c>
    </row>
    <row r="275" spans="1:14" ht="15.75" customHeight="1" x14ac:dyDescent="0.35">
      <c r="A275" s="2" t="s">
        <v>556</v>
      </c>
      <c r="B275" s="2" t="str" cm="1">
        <f t="array" ref="B275">_xlfn.IFS(AND(LEN('Special Help Table'!$A275)-(LEN(SUBSTITUTE('Special Help Table'!$A275,";","")))=0,LEN('Special Help Table'!$A275)-LEN(SUBSTITUTE('Special Help Table'!$A275,",",""))=1,LEN('Special Help Table'!$A275)-LEN(SUBSTITUTE('Special Help Table'!$A275,"and ",""))=0),MID('Special Help Table'!$A275&amp;" "&amp;'Special Help Table'!$A275,SEARCH(", ",'Special Help Table'!$A275)+1,LEN('Special Help Table'!$A275)),AND(LEN('Special Help Table'!$A275)-(LEN(SUBSTITUTE('Special Help Table'!$A275,";","")))=1,LEN('Special Help Table'!$A275)-LEN(SUBSTITUTE('Special Help Table'!$A275,"and ",""))=0),MID('Special Help Table'!$A275,SEARCH(",",'Special Help Table'!$A275)+1,(SEARCH(";",'Special Help Table'!$A275)-1)-SEARCH(",",'Special Help Table'!$A275))&amp;" "&amp;LEFT('Special Help Table'!$A275,SEARCH(",",'Special Help Table'!$A275)-1)&amp;";"&amp;RIGHT('Special Help Table'!$A275,LEN('Special Help Table'!$A275)-SEARCH(",",'Special Help Table'!$A275,SEARCH(";",'Special Help Table'!$A275)))&amp;" "&amp;MID('Special Help Table'!$A275,SEARCH("; ",'Special Help Table'!$A275)+2,SEARCH(",",'Special Help Table'!$A275,SEARCH(";",'Special Help Table'!$A275))-SEARCH(";",'Special Help Table'!$A275)-2),AND(LEN('Special Help Table'!$A275)-LEN(SUBSTITUTE('Special Help Table'!$A275,"and ",""))=0,LEN('Special Help Table'!$A275)-LEN(SUBSTITUTE('Special Help Table'!$A275,";",""))=0),'Special Help Table'!$A275,AND(LEN('Special Help Table'!$A275)-LEN(SUBSTITUTE('Special Help Table'!$A275,",","")=1),LEN('Special Help Table'!$A275)-LEN(SUBSTITUTE('Special Help Table'!$A275," ","")=20),LEN('Special Help Table'!$A275)-LEN(SUBSTITUTE('Special Help Table'!$A275," and",""))=0,LEN('Special Help Table'!$A275)-LEN(SUBSTITUTE('Special Help Table'!$A275,",","",FIND(" ",'Special Help Table'!$A275)+1))=0),RIGHT('Special Help Table'!$A275,LEN('Special Help Table'!$A275)-FIND(", ",'Special Help Table'!$A275))&amp;" "&amp;LEFT('Special Help Table'!$A275,FIND(",",'Special Help Table'!$A275)-1),AND(LEN('Special Help Table'!$A275)-LEN(SUBSTITUTE('Special Help Table'!$A275,"editor",""))=6,LEN('Special Help Table'!$A275)-LEN(SUBSTITUTE('Special Help Table'!$A275,"(",""))=0,LEN('Special Help Table'!$A275)-LEN(SUBSTITUTE('Special Help Table'!$A275,"and",""))=3,LEN('Special Help Table'!$A275)-LEN(SUBSTITUTE('Special Help Table'!$A275,",",""))=1,LEN('Special Help Table'!$A275)-LEN(SUBSTITUTE('Special Help Table'!$A275," ",""))=3),'Special Help Table'!$A275)</f>
        <v xml:space="preserve"> Graeme Goldsworthy</v>
      </c>
      <c r="C275" s="4" t="s">
        <v>557</v>
      </c>
      <c r="D275" s="2"/>
      <c r="E275" s="2" t="s">
        <v>16</v>
      </c>
      <c r="F275" s="2" t="s">
        <v>28</v>
      </c>
      <c r="G275" s="2" t="s">
        <v>558</v>
      </c>
      <c r="H275" s="2"/>
      <c r="I275" s="2"/>
      <c r="J275" s="2"/>
      <c r="K275" s="3">
        <v>41591</v>
      </c>
      <c r="L275" s="2"/>
      <c r="M275" s="2"/>
      <c r="N275" s="2" t="s">
        <v>18</v>
      </c>
    </row>
    <row r="276" spans="1:14" ht="15.75" customHeight="1" x14ac:dyDescent="0.35">
      <c r="A276" s="2" t="s">
        <v>559</v>
      </c>
      <c r="B276" s="2" t="str" cm="1">
        <f t="array" ref="B276">_xlfn.IFS(AND(LEN('Special Help Table'!$A276)-(LEN(SUBSTITUTE('Special Help Table'!$A276,";","")))=0,LEN('Special Help Table'!$A276)-LEN(SUBSTITUTE('Special Help Table'!$A276,",",""))=1,LEN('Special Help Table'!$A276)-LEN(SUBSTITUTE('Special Help Table'!$A276,"and ",""))=0),MID('Special Help Table'!$A276&amp;" "&amp;'Special Help Table'!$A276,SEARCH(", ",'Special Help Table'!$A276)+1,LEN('Special Help Table'!$A276)),AND(LEN('Special Help Table'!$A276)-(LEN(SUBSTITUTE('Special Help Table'!$A276,";","")))=1,LEN('Special Help Table'!$A276)-LEN(SUBSTITUTE('Special Help Table'!$A276,"and ",""))=0),MID('Special Help Table'!$A276,SEARCH(",",'Special Help Table'!$A276)+1,(SEARCH(";",'Special Help Table'!$A276)-1)-SEARCH(",",'Special Help Table'!$A276))&amp;" "&amp;LEFT('Special Help Table'!$A276,SEARCH(",",'Special Help Table'!$A276)-1)&amp;";"&amp;RIGHT('Special Help Table'!$A276,LEN('Special Help Table'!$A276)-SEARCH(",",'Special Help Table'!$A276,SEARCH(";",'Special Help Table'!$A276)))&amp;" "&amp;MID('Special Help Table'!$A276,SEARCH("; ",'Special Help Table'!$A276)+2,SEARCH(",",'Special Help Table'!$A276,SEARCH(";",'Special Help Table'!$A276))-SEARCH(";",'Special Help Table'!$A276)-2),AND(LEN('Special Help Table'!$A276)-LEN(SUBSTITUTE('Special Help Table'!$A276,"and ",""))=0,LEN('Special Help Table'!$A276)-LEN(SUBSTITUTE('Special Help Table'!$A276,";",""))=0),'Special Help Table'!$A276,AND(LEN('Special Help Table'!$A276)-LEN(SUBSTITUTE('Special Help Table'!$A276,",","")=1),LEN('Special Help Table'!$A276)-LEN(SUBSTITUTE('Special Help Table'!$A276," ","")=20),LEN('Special Help Table'!$A276)-LEN(SUBSTITUTE('Special Help Table'!$A276," and",""))=0,LEN('Special Help Table'!$A276)-LEN(SUBSTITUTE('Special Help Table'!$A276,",","",FIND(" ",'Special Help Table'!$A276)+1))=0),RIGHT('Special Help Table'!$A276,LEN('Special Help Table'!$A276)-FIND(", ",'Special Help Table'!$A276))&amp;" "&amp;LEFT('Special Help Table'!$A276,FIND(",",'Special Help Table'!$A276)-1),AND(LEN('Special Help Table'!$A276)-LEN(SUBSTITUTE('Special Help Table'!$A276,"editor",""))=6,LEN('Special Help Table'!$A276)-LEN(SUBSTITUTE('Special Help Table'!$A276,"(",""))=0,LEN('Special Help Table'!$A276)-LEN(SUBSTITUTE('Special Help Table'!$A276,"and",""))=3,LEN('Special Help Table'!$A276)-LEN(SUBSTITUTE('Special Help Table'!$A276,",",""))=1,LEN('Special Help Table'!$A276)-LEN(SUBSTITUTE('Special Help Table'!$A276," ",""))=3),'Special Help Table'!$A276)</f>
        <v xml:space="preserve"> T. David Gordon</v>
      </c>
      <c r="C276" s="4" t="s">
        <v>560</v>
      </c>
      <c r="D276" s="2"/>
      <c r="E276" s="2" t="s">
        <v>16</v>
      </c>
      <c r="F276" s="2" t="s">
        <v>20</v>
      </c>
      <c r="G276" s="2"/>
      <c r="H276" s="2"/>
      <c r="I276" s="2"/>
      <c r="J276" s="2" t="s">
        <v>52</v>
      </c>
      <c r="K276" s="3">
        <v>40247</v>
      </c>
      <c r="L276" s="2"/>
      <c r="M276" s="2"/>
      <c r="N276" s="2" t="s">
        <v>18</v>
      </c>
    </row>
    <row r="277" spans="1:14" ht="15.75" customHeight="1" x14ac:dyDescent="0.35">
      <c r="A277" s="2" t="s">
        <v>559</v>
      </c>
      <c r="B277" s="2" t="str" cm="1">
        <f t="array" ref="B277">_xlfn.IFS(AND(LEN('Special Help Table'!$A277)-(LEN(SUBSTITUTE('Special Help Table'!$A277,";","")))=0,LEN('Special Help Table'!$A277)-LEN(SUBSTITUTE('Special Help Table'!$A277,",",""))=1,LEN('Special Help Table'!$A277)-LEN(SUBSTITUTE('Special Help Table'!$A277,"and ",""))=0),MID('Special Help Table'!$A277&amp;" "&amp;'Special Help Table'!$A277,SEARCH(", ",'Special Help Table'!$A277)+1,LEN('Special Help Table'!$A277)),AND(LEN('Special Help Table'!$A277)-(LEN(SUBSTITUTE('Special Help Table'!$A277,";","")))=1,LEN('Special Help Table'!$A277)-LEN(SUBSTITUTE('Special Help Table'!$A277,"and ",""))=0),MID('Special Help Table'!$A277,SEARCH(",",'Special Help Table'!$A277)+1,(SEARCH(";",'Special Help Table'!$A277)-1)-SEARCH(",",'Special Help Table'!$A277))&amp;" "&amp;LEFT('Special Help Table'!$A277,SEARCH(",",'Special Help Table'!$A277)-1)&amp;";"&amp;RIGHT('Special Help Table'!$A277,LEN('Special Help Table'!$A277)-SEARCH(",",'Special Help Table'!$A277,SEARCH(";",'Special Help Table'!$A277)))&amp;" "&amp;MID('Special Help Table'!$A277,SEARCH("; ",'Special Help Table'!$A277)+2,SEARCH(",",'Special Help Table'!$A277,SEARCH(";",'Special Help Table'!$A277))-SEARCH(";",'Special Help Table'!$A277)-2),AND(LEN('Special Help Table'!$A277)-LEN(SUBSTITUTE('Special Help Table'!$A277,"and ",""))=0,LEN('Special Help Table'!$A277)-LEN(SUBSTITUTE('Special Help Table'!$A277,";",""))=0),'Special Help Table'!$A277,AND(LEN('Special Help Table'!$A277)-LEN(SUBSTITUTE('Special Help Table'!$A277,",","")=1),LEN('Special Help Table'!$A277)-LEN(SUBSTITUTE('Special Help Table'!$A277," ","")=20),LEN('Special Help Table'!$A277)-LEN(SUBSTITUTE('Special Help Table'!$A277," and",""))=0,LEN('Special Help Table'!$A277)-LEN(SUBSTITUTE('Special Help Table'!$A277,",","",FIND(" ",'Special Help Table'!$A277)+1))=0),RIGHT('Special Help Table'!$A277,LEN('Special Help Table'!$A277)-FIND(", ",'Special Help Table'!$A277))&amp;" "&amp;LEFT('Special Help Table'!$A277,FIND(",",'Special Help Table'!$A277)-1),AND(LEN('Special Help Table'!$A277)-LEN(SUBSTITUTE('Special Help Table'!$A277,"editor",""))=6,LEN('Special Help Table'!$A277)-LEN(SUBSTITUTE('Special Help Table'!$A277,"(",""))=0,LEN('Special Help Table'!$A277)-LEN(SUBSTITUTE('Special Help Table'!$A277,"and",""))=3,LEN('Special Help Table'!$A277)-LEN(SUBSTITUTE('Special Help Table'!$A277,",",""))=1,LEN('Special Help Table'!$A277)-LEN(SUBSTITUTE('Special Help Table'!$A277," ",""))=3),'Special Help Table'!$A277)</f>
        <v xml:space="preserve"> T. David Gordon</v>
      </c>
      <c r="C277" s="4" t="s">
        <v>561</v>
      </c>
      <c r="D277" s="2"/>
      <c r="E277" s="2" t="s">
        <v>16</v>
      </c>
      <c r="F277" s="2" t="s">
        <v>20</v>
      </c>
      <c r="G277" s="2"/>
      <c r="H277" s="2"/>
      <c r="I277" s="2"/>
      <c r="J277" s="2" t="s">
        <v>562</v>
      </c>
      <c r="K277" s="3">
        <v>40238</v>
      </c>
      <c r="L277" s="2"/>
      <c r="M277" s="2"/>
      <c r="N277" s="2" t="s">
        <v>18</v>
      </c>
    </row>
    <row r="278" spans="1:14" ht="15.75" customHeight="1" x14ac:dyDescent="0.35">
      <c r="A278" s="2" t="s">
        <v>563</v>
      </c>
      <c r="B278" s="2" t="str" cm="1">
        <f t="array" ref="B278">_xlfn.IFS(AND(LEN('Special Help Table'!$A278)-(LEN(SUBSTITUTE('Special Help Table'!$A278,";","")))=0,LEN('Special Help Table'!$A278)-LEN(SUBSTITUTE('Special Help Table'!$A278,",",""))=1,LEN('Special Help Table'!$A278)-LEN(SUBSTITUTE('Special Help Table'!$A278,"and ",""))=0),MID('Special Help Table'!$A278&amp;" "&amp;'Special Help Table'!$A278,SEARCH(", ",'Special Help Table'!$A278)+1,LEN('Special Help Table'!$A278)),AND(LEN('Special Help Table'!$A278)-(LEN(SUBSTITUTE('Special Help Table'!$A278,";","")))=1,LEN('Special Help Table'!$A278)-LEN(SUBSTITUTE('Special Help Table'!$A278,"and ",""))=0),MID('Special Help Table'!$A278,SEARCH(",",'Special Help Table'!$A278)+1,(SEARCH(";",'Special Help Table'!$A278)-1)-SEARCH(",",'Special Help Table'!$A278))&amp;" "&amp;LEFT('Special Help Table'!$A278,SEARCH(",",'Special Help Table'!$A278)-1)&amp;";"&amp;RIGHT('Special Help Table'!$A278,LEN('Special Help Table'!$A278)-SEARCH(",",'Special Help Table'!$A278,SEARCH(";",'Special Help Table'!$A278)))&amp;" "&amp;MID('Special Help Table'!$A278,SEARCH("; ",'Special Help Table'!$A278)+2,SEARCH(",",'Special Help Table'!$A278,SEARCH(";",'Special Help Table'!$A278))-SEARCH(";",'Special Help Table'!$A278)-2),AND(LEN('Special Help Table'!$A278)-LEN(SUBSTITUTE('Special Help Table'!$A278,"and ",""))=0,LEN('Special Help Table'!$A278)-LEN(SUBSTITUTE('Special Help Table'!$A278,";",""))=0),'Special Help Table'!$A278,AND(LEN('Special Help Table'!$A278)-LEN(SUBSTITUTE('Special Help Table'!$A278,",","")=1),LEN('Special Help Table'!$A278)-LEN(SUBSTITUTE('Special Help Table'!$A278," ","")=20),LEN('Special Help Table'!$A278)-LEN(SUBSTITUTE('Special Help Table'!$A278," and",""))=0,LEN('Special Help Table'!$A278)-LEN(SUBSTITUTE('Special Help Table'!$A278,",","",FIND(" ",'Special Help Table'!$A278)+1))=0),RIGHT('Special Help Table'!$A278,LEN('Special Help Table'!$A278)-FIND(", ",'Special Help Table'!$A278))&amp;" "&amp;LEFT('Special Help Table'!$A278,FIND(",",'Special Help Table'!$A278)-1),AND(LEN('Special Help Table'!$A278)-LEN(SUBSTITUTE('Special Help Table'!$A278,"editor",""))=6,LEN('Special Help Table'!$A278)-LEN(SUBSTITUTE('Special Help Table'!$A278,"(",""))=0,LEN('Special Help Table'!$A278)-LEN(SUBSTITUTE('Special Help Table'!$A278,"and",""))=3,LEN('Special Help Table'!$A278)-LEN(SUBSTITUTE('Special Help Table'!$A278,",",""))=1,LEN('Special Help Table'!$A278)-LEN(SUBSTITUTE('Special Help Table'!$A278," ",""))=3),'Special Help Table'!$A278)</f>
        <v xml:space="preserve"> Joel B Green</v>
      </c>
      <c r="C278" s="4" t="s">
        <v>564</v>
      </c>
      <c r="D278" s="2"/>
      <c r="E278" s="2" t="s">
        <v>16</v>
      </c>
      <c r="F278" s="2" t="s">
        <v>92</v>
      </c>
      <c r="G278" s="2"/>
      <c r="H278" s="2"/>
      <c r="I278" s="2"/>
      <c r="J278" s="2"/>
      <c r="K278" s="3">
        <v>41346</v>
      </c>
      <c r="L278" s="2"/>
      <c r="M278" s="2"/>
      <c r="N278" s="2" t="s">
        <v>18</v>
      </c>
    </row>
    <row r="279" spans="1:14" ht="15.75" customHeight="1" x14ac:dyDescent="0.35">
      <c r="A279" s="2" t="s">
        <v>565</v>
      </c>
      <c r="B279" s="2" t="str" cm="1">
        <f t="array" ref="B279">_xlfn.IFS(AND(LEN('Special Help Table'!$A279)-(LEN(SUBSTITUTE('Special Help Table'!$A279,";","")))=0,LEN('Special Help Table'!$A279)-LEN(SUBSTITUTE('Special Help Table'!$A279,",",""))=1,LEN('Special Help Table'!$A279)-LEN(SUBSTITUTE('Special Help Table'!$A279,"and ",""))=0),MID('Special Help Table'!$A279&amp;" "&amp;'Special Help Table'!$A279,SEARCH(", ",'Special Help Table'!$A279)+1,LEN('Special Help Table'!$A279)),AND(LEN('Special Help Table'!$A279)-(LEN(SUBSTITUTE('Special Help Table'!$A279,";","")))=1,LEN('Special Help Table'!$A279)-LEN(SUBSTITUTE('Special Help Table'!$A279,"and ",""))=0),MID('Special Help Table'!$A279,SEARCH(",",'Special Help Table'!$A279)+1,(SEARCH(";",'Special Help Table'!$A279)-1)-SEARCH(",",'Special Help Table'!$A279))&amp;" "&amp;LEFT('Special Help Table'!$A279,SEARCH(",",'Special Help Table'!$A279)-1)&amp;";"&amp;RIGHT('Special Help Table'!$A279,LEN('Special Help Table'!$A279)-SEARCH(",",'Special Help Table'!$A279,SEARCH(";",'Special Help Table'!$A279)))&amp;" "&amp;MID('Special Help Table'!$A279,SEARCH("; ",'Special Help Table'!$A279)+2,SEARCH(",",'Special Help Table'!$A279,SEARCH(";",'Special Help Table'!$A279))-SEARCH(";",'Special Help Table'!$A279)-2),AND(LEN('Special Help Table'!$A279)-LEN(SUBSTITUTE('Special Help Table'!$A279,"and ",""))=0,LEN('Special Help Table'!$A279)-LEN(SUBSTITUTE('Special Help Table'!$A279,";",""))=0),'Special Help Table'!$A279,AND(LEN('Special Help Table'!$A279)-LEN(SUBSTITUTE('Special Help Table'!$A279,",","")=1),LEN('Special Help Table'!$A279)-LEN(SUBSTITUTE('Special Help Table'!$A279," ","")=20),LEN('Special Help Table'!$A279)-LEN(SUBSTITUTE('Special Help Table'!$A279," and",""))=0,LEN('Special Help Table'!$A279)-LEN(SUBSTITUTE('Special Help Table'!$A279,",","",FIND(" ",'Special Help Table'!$A279)+1))=0),RIGHT('Special Help Table'!$A279,LEN('Special Help Table'!$A279)-FIND(", ",'Special Help Table'!$A279))&amp;" "&amp;LEFT('Special Help Table'!$A279,FIND(",",'Special Help Table'!$A279)-1),AND(LEN('Special Help Table'!$A279)-LEN(SUBSTITUTE('Special Help Table'!$A279,"editor",""))=6,LEN('Special Help Table'!$A279)-LEN(SUBSTITUTE('Special Help Table'!$A279,"(",""))=0,LEN('Special Help Table'!$A279)-LEN(SUBSTITUTE('Special Help Table'!$A279,"and",""))=3,LEN('Special Help Table'!$A279)-LEN(SUBSTITUTE('Special Help Table'!$A279,",",""))=1,LEN('Special Help Table'!$A279)-LEN(SUBSTITUTE('Special Help Table'!$A279," ",""))=3),'Special Help Table'!$A279)</f>
        <v xml:space="preserve"> Sidney Greidanus</v>
      </c>
      <c r="C279" s="4" t="s">
        <v>566</v>
      </c>
      <c r="D279" s="2"/>
      <c r="E279" s="2" t="s">
        <v>16</v>
      </c>
      <c r="F279" s="2" t="s">
        <v>28</v>
      </c>
      <c r="G279" s="2"/>
      <c r="H279" s="2"/>
      <c r="I279" s="2"/>
      <c r="J279" s="2"/>
      <c r="K279" s="3"/>
      <c r="L279" s="2"/>
      <c r="M279" s="2"/>
      <c r="N279" s="2" t="s">
        <v>18</v>
      </c>
    </row>
    <row r="280" spans="1:14" ht="15.75" customHeight="1" x14ac:dyDescent="0.35">
      <c r="A280" s="2" t="s">
        <v>567</v>
      </c>
      <c r="B280" s="2" t="str" cm="1">
        <f t="array" ref="B280">_xlfn.IFS(AND(LEN('Special Help Table'!$A280)-(LEN(SUBSTITUTE('Special Help Table'!$A280,";","")))=0,LEN('Special Help Table'!$A280)-LEN(SUBSTITUTE('Special Help Table'!$A280,",",""))=1,LEN('Special Help Table'!$A280)-LEN(SUBSTITUTE('Special Help Table'!$A280,"and ",""))=0),MID('Special Help Table'!$A280&amp;" "&amp;'Special Help Table'!$A280,SEARCH(", ",'Special Help Table'!$A280)+1,LEN('Special Help Table'!$A280)),AND(LEN('Special Help Table'!$A280)-(LEN(SUBSTITUTE('Special Help Table'!$A280,";","")))=1,LEN('Special Help Table'!$A280)-LEN(SUBSTITUTE('Special Help Table'!$A280,"and ",""))=0),MID('Special Help Table'!$A280,SEARCH(",",'Special Help Table'!$A280)+1,(SEARCH(";",'Special Help Table'!$A280)-1)-SEARCH(",",'Special Help Table'!$A280))&amp;" "&amp;LEFT('Special Help Table'!$A280,SEARCH(",",'Special Help Table'!$A280)-1)&amp;";"&amp;RIGHT('Special Help Table'!$A280,LEN('Special Help Table'!$A280)-SEARCH(",",'Special Help Table'!$A280,SEARCH(";",'Special Help Table'!$A280)))&amp;" "&amp;MID('Special Help Table'!$A280,SEARCH("; ",'Special Help Table'!$A280)+2,SEARCH(",",'Special Help Table'!$A280,SEARCH(";",'Special Help Table'!$A280))-SEARCH(";",'Special Help Table'!$A280)-2),AND(LEN('Special Help Table'!$A280)-LEN(SUBSTITUTE('Special Help Table'!$A280,"and ",""))=0,LEN('Special Help Table'!$A280)-LEN(SUBSTITUTE('Special Help Table'!$A280,";",""))=0),'Special Help Table'!$A280,AND(LEN('Special Help Table'!$A280)-LEN(SUBSTITUTE('Special Help Table'!$A280,",","")=1),LEN('Special Help Table'!$A280)-LEN(SUBSTITUTE('Special Help Table'!$A280," ","")=20),LEN('Special Help Table'!$A280)-LEN(SUBSTITUTE('Special Help Table'!$A280," and",""))=0,LEN('Special Help Table'!$A280)-LEN(SUBSTITUTE('Special Help Table'!$A280,",","",FIND(" ",'Special Help Table'!$A280)+1))=0),RIGHT('Special Help Table'!$A280,LEN('Special Help Table'!$A280)-FIND(", ",'Special Help Table'!$A280))&amp;" "&amp;LEFT('Special Help Table'!$A280,FIND(",",'Special Help Table'!$A280)-1),AND(LEN('Special Help Table'!$A280)-LEN(SUBSTITUTE('Special Help Table'!$A280,"editor",""))=6,LEN('Special Help Table'!$A280)-LEN(SUBSTITUTE('Special Help Table'!$A280,"(",""))=0,LEN('Special Help Table'!$A280)-LEN(SUBSTITUTE('Special Help Table'!$A280,"and",""))=3,LEN('Special Help Table'!$A280)-LEN(SUBSTITUTE('Special Help Table'!$A280,",",""))=1,LEN('Special Help Table'!$A280)-LEN(SUBSTITUTE('Special Help Table'!$A280," ",""))=3),'Special Help Table'!$A280)</f>
        <v xml:space="preserve"> J. Alasdair Groves</v>
      </c>
      <c r="C280" s="4" t="s">
        <v>568</v>
      </c>
      <c r="D280" s="2" t="s">
        <v>569</v>
      </c>
      <c r="E280" s="2" t="s">
        <v>16</v>
      </c>
      <c r="F280" s="2" t="s">
        <v>17</v>
      </c>
      <c r="G280" s="2"/>
      <c r="H280" s="2"/>
      <c r="I280" s="2"/>
      <c r="J280" s="2" t="s">
        <v>570</v>
      </c>
      <c r="K280" s="3">
        <v>43704</v>
      </c>
      <c r="L280" s="2"/>
      <c r="M280" s="2"/>
      <c r="N280" s="2" t="s">
        <v>18</v>
      </c>
    </row>
    <row r="281" spans="1:14" ht="15.75" customHeight="1" x14ac:dyDescent="0.35">
      <c r="A281" s="2" t="s">
        <v>571</v>
      </c>
      <c r="B281" s="2" t="str" cm="1">
        <f t="array" ref="B281">_xlfn.IFS(AND(LEN('Special Help Table'!$A281)-(LEN(SUBSTITUTE('Special Help Table'!$A281,";","")))=0,LEN('Special Help Table'!$A281)-LEN(SUBSTITUTE('Special Help Table'!$A281,",",""))=1,LEN('Special Help Table'!$A281)-LEN(SUBSTITUTE('Special Help Table'!$A281,"and ",""))=0),MID('Special Help Table'!$A281&amp;" "&amp;'Special Help Table'!$A281,SEARCH(", ",'Special Help Table'!$A281)+1,LEN('Special Help Table'!$A281)),AND(LEN('Special Help Table'!$A281)-(LEN(SUBSTITUTE('Special Help Table'!$A281,";","")))=1,LEN('Special Help Table'!$A281)-LEN(SUBSTITUTE('Special Help Table'!$A281,"and ",""))=0),MID('Special Help Table'!$A281,SEARCH(",",'Special Help Table'!$A281)+1,(SEARCH(";",'Special Help Table'!$A281)-1)-SEARCH(",",'Special Help Table'!$A281))&amp;" "&amp;LEFT('Special Help Table'!$A281,SEARCH(",",'Special Help Table'!$A281)-1)&amp;";"&amp;RIGHT('Special Help Table'!$A281,LEN('Special Help Table'!$A281)-SEARCH(",",'Special Help Table'!$A281,SEARCH(";",'Special Help Table'!$A281)))&amp;" "&amp;MID('Special Help Table'!$A281,SEARCH("; ",'Special Help Table'!$A281)+2,SEARCH(",",'Special Help Table'!$A281,SEARCH(";",'Special Help Table'!$A281))-SEARCH(";",'Special Help Table'!$A281)-2),AND(LEN('Special Help Table'!$A281)-LEN(SUBSTITUTE('Special Help Table'!$A281,"and ",""))=0,LEN('Special Help Table'!$A281)-LEN(SUBSTITUTE('Special Help Table'!$A281,";",""))=0),'Special Help Table'!$A281,AND(LEN('Special Help Table'!$A281)-LEN(SUBSTITUTE('Special Help Table'!$A281,",","")=1),LEN('Special Help Table'!$A281)-LEN(SUBSTITUTE('Special Help Table'!$A281," ","")=20),LEN('Special Help Table'!$A281)-LEN(SUBSTITUTE('Special Help Table'!$A281," and",""))=0,LEN('Special Help Table'!$A281)-LEN(SUBSTITUTE('Special Help Table'!$A281,",","",FIND(" ",'Special Help Table'!$A281)+1))=0),RIGHT('Special Help Table'!$A281,LEN('Special Help Table'!$A281)-FIND(", ",'Special Help Table'!$A281))&amp;" "&amp;LEFT('Special Help Table'!$A281,FIND(",",'Special Help Table'!$A281)-1),AND(LEN('Special Help Table'!$A281)-LEN(SUBSTITUTE('Special Help Table'!$A281,"editor",""))=6,LEN('Special Help Table'!$A281)-LEN(SUBSTITUTE('Special Help Table'!$A281,"(",""))=0,LEN('Special Help Table'!$A281)-LEN(SUBSTITUTE('Special Help Table'!$A281,"and",""))=3,LEN('Special Help Table'!$A281)-LEN(SUBSTITUTE('Special Help Table'!$A281,",",""))=1,LEN('Special Help Table'!$A281)-LEN(SUBSTITUTE('Special Help Table'!$A281," ",""))=3),'Special Help Table'!$A281)</f>
        <v>Grudem, Collins, Schreiner</v>
      </c>
      <c r="C281" s="4" t="s">
        <v>572</v>
      </c>
      <c r="D281" s="2"/>
      <c r="E281" s="2" t="s">
        <v>16</v>
      </c>
      <c r="F281" s="2" t="s">
        <v>76</v>
      </c>
      <c r="G281" s="2"/>
      <c r="H281" s="2"/>
      <c r="I281" s="2"/>
      <c r="J281" s="2"/>
      <c r="K281" s="3">
        <v>41804</v>
      </c>
      <c r="L281" s="2"/>
      <c r="M281" s="2"/>
      <c r="N281" s="2" t="s">
        <v>18</v>
      </c>
    </row>
    <row r="282" spans="1:14" ht="15.75" customHeight="1" x14ac:dyDescent="0.35">
      <c r="A282" s="2" t="s">
        <v>573</v>
      </c>
      <c r="B282" s="2" t="str" cm="1">
        <f t="array" ref="B282">_xlfn.IFS(AND(LEN('Special Help Table'!$A282)-(LEN(SUBSTITUTE('Special Help Table'!$A282,";","")))=0,LEN('Special Help Table'!$A282)-LEN(SUBSTITUTE('Special Help Table'!$A282,",",""))=1,LEN('Special Help Table'!$A282)-LEN(SUBSTITUTE('Special Help Table'!$A282,"and ",""))=0),MID('Special Help Table'!$A282&amp;" "&amp;'Special Help Table'!$A282,SEARCH(", ",'Special Help Table'!$A282)+1,LEN('Special Help Table'!$A282)),AND(LEN('Special Help Table'!$A282)-(LEN(SUBSTITUTE('Special Help Table'!$A282,";","")))=1,LEN('Special Help Table'!$A282)-LEN(SUBSTITUTE('Special Help Table'!$A282,"and ",""))=0),MID('Special Help Table'!$A282,SEARCH(",",'Special Help Table'!$A282)+1,(SEARCH(";",'Special Help Table'!$A282)-1)-SEARCH(",",'Special Help Table'!$A282))&amp;" "&amp;LEFT('Special Help Table'!$A282,SEARCH(",",'Special Help Table'!$A282)-1)&amp;";"&amp;RIGHT('Special Help Table'!$A282,LEN('Special Help Table'!$A282)-SEARCH(",",'Special Help Table'!$A282,SEARCH(";",'Special Help Table'!$A282)))&amp;" "&amp;MID('Special Help Table'!$A282,SEARCH("; ",'Special Help Table'!$A282)+2,SEARCH(",",'Special Help Table'!$A282,SEARCH(";",'Special Help Table'!$A282))-SEARCH(";",'Special Help Table'!$A282)-2),AND(LEN('Special Help Table'!$A282)-LEN(SUBSTITUTE('Special Help Table'!$A282,"and ",""))=0,LEN('Special Help Table'!$A282)-LEN(SUBSTITUTE('Special Help Table'!$A282,";",""))=0),'Special Help Table'!$A282,AND(LEN('Special Help Table'!$A282)-LEN(SUBSTITUTE('Special Help Table'!$A282,",","")=1),LEN('Special Help Table'!$A282)-LEN(SUBSTITUTE('Special Help Table'!$A282," ","")=20),LEN('Special Help Table'!$A282)-LEN(SUBSTITUTE('Special Help Table'!$A282," and",""))=0,LEN('Special Help Table'!$A282)-LEN(SUBSTITUTE('Special Help Table'!$A282,",","",FIND(" ",'Special Help Table'!$A282)+1))=0),RIGHT('Special Help Table'!$A282,LEN('Special Help Table'!$A282)-FIND(", ",'Special Help Table'!$A282))&amp;" "&amp;LEFT('Special Help Table'!$A282,FIND(",",'Special Help Table'!$A282)-1),AND(LEN('Special Help Table'!$A282)-LEN(SUBSTITUTE('Special Help Table'!$A282,"editor",""))=6,LEN('Special Help Table'!$A282)-LEN(SUBSTITUTE('Special Help Table'!$A282,"(",""))=0,LEN('Special Help Table'!$A282)-LEN(SUBSTITUTE('Special Help Table'!$A282,"and",""))=3,LEN('Special Help Table'!$A282)-LEN(SUBSTITUTE('Special Help Table'!$A282,",",""))=1,LEN('Special Help Table'!$A282)-LEN(SUBSTITUTE('Special Help Table'!$A282," ",""))=3),'Special Help Table'!$A282)</f>
        <v xml:space="preserve"> Wayne Grudem</v>
      </c>
      <c r="C282" s="4" t="s">
        <v>574</v>
      </c>
      <c r="D282" s="2"/>
      <c r="E282" s="2" t="s">
        <v>16</v>
      </c>
      <c r="F282" s="2" t="s">
        <v>17</v>
      </c>
      <c r="G282" s="2"/>
      <c r="H282" s="2"/>
      <c r="I282" s="2"/>
      <c r="J282" s="2" t="s">
        <v>575</v>
      </c>
      <c r="K282" s="3">
        <v>41530</v>
      </c>
      <c r="L282" s="2"/>
      <c r="M282" s="2"/>
      <c r="N282" s="2" t="s">
        <v>18</v>
      </c>
    </row>
    <row r="283" spans="1:14" ht="15.75" customHeight="1" x14ac:dyDescent="0.35">
      <c r="A283" s="2" t="s">
        <v>573</v>
      </c>
      <c r="B283" s="2" t="str" cm="1">
        <f t="array" ref="B283">_xlfn.IFS(AND(LEN('Special Help Table'!$A283)-(LEN(SUBSTITUTE('Special Help Table'!$A283,";","")))=0,LEN('Special Help Table'!$A283)-LEN(SUBSTITUTE('Special Help Table'!$A283,",",""))=1,LEN('Special Help Table'!$A283)-LEN(SUBSTITUTE('Special Help Table'!$A283,"and ",""))=0),MID('Special Help Table'!$A283&amp;" "&amp;'Special Help Table'!$A283,SEARCH(", ",'Special Help Table'!$A283)+1,LEN('Special Help Table'!$A283)),AND(LEN('Special Help Table'!$A283)-(LEN(SUBSTITUTE('Special Help Table'!$A283,";","")))=1,LEN('Special Help Table'!$A283)-LEN(SUBSTITUTE('Special Help Table'!$A283,"and ",""))=0),MID('Special Help Table'!$A283,SEARCH(",",'Special Help Table'!$A283)+1,(SEARCH(";",'Special Help Table'!$A283)-1)-SEARCH(",",'Special Help Table'!$A283))&amp;" "&amp;LEFT('Special Help Table'!$A283,SEARCH(",",'Special Help Table'!$A283)-1)&amp;";"&amp;RIGHT('Special Help Table'!$A283,LEN('Special Help Table'!$A283)-SEARCH(",",'Special Help Table'!$A283,SEARCH(";",'Special Help Table'!$A283)))&amp;" "&amp;MID('Special Help Table'!$A283,SEARCH("; ",'Special Help Table'!$A283)+2,SEARCH(",",'Special Help Table'!$A283,SEARCH(";",'Special Help Table'!$A283))-SEARCH(";",'Special Help Table'!$A283)-2),AND(LEN('Special Help Table'!$A283)-LEN(SUBSTITUTE('Special Help Table'!$A283,"and ",""))=0,LEN('Special Help Table'!$A283)-LEN(SUBSTITUTE('Special Help Table'!$A283,";",""))=0),'Special Help Table'!$A283,AND(LEN('Special Help Table'!$A283)-LEN(SUBSTITUTE('Special Help Table'!$A283,",","")=1),LEN('Special Help Table'!$A283)-LEN(SUBSTITUTE('Special Help Table'!$A283," ","")=20),LEN('Special Help Table'!$A283)-LEN(SUBSTITUTE('Special Help Table'!$A283," and",""))=0,LEN('Special Help Table'!$A283)-LEN(SUBSTITUTE('Special Help Table'!$A283,",","",FIND(" ",'Special Help Table'!$A283)+1))=0),RIGHT('Special Help Table'!$A283,LEN('Special Help Table'!$A283)-FIND(", ",'Special Help Table'!$A283))&amp;" "&amp;LEFT('Special Help Table'!$A283,FIND(",",'Special Help Table'!$A283)-1),AND(LEN('Special Help Table'!$A283)-LEN(SUBSTITUTE('Special Help Table'!$A283,"editor",""))=6,LEN('Special Help Table'!$A283)-LEN(SUBSTITUTE('Special Help Table'!$A283,"(",""))=0,LEN('Special Help Table'!$A283)-LEN(SUBSTITUTE('Special Help Table'!$A283,"and",""))=3,LEN('Special Help Table'!$A283)-LEN(SUBSTITUTE('Special Help Table'!$A283,",",""))=1,LEN('Special Help Table'!$A283)-LEN(SUBSTITUTE('Special Help Table'!$A283," ",""))=3),'Special Help Table'!$A283)</f>
        <v xml:space="preserve"> Wayne Grudem</v>
      </c>
      <c r="C283" s="4" t="s">
        <v>576</v>
      </c>
      <c r="D283" s="2"/>
      <c r="E283" s="2" t="s">
        <v>16</v>
      </c>
      <c r="F283" s="2" t="s">
        <v>20</v>
      </c>
      <c r="G283" s="2"/>
      <c r="H283" s="2"/>
      <c r="I283" s="2"/>
      <c r="J283" s="2" t="s">
        <v>109</v>
      </c>
      <c r="K283" s="3"/>
      <c r="L283" s="2"/>
      <c r="M283" s="2"/>
      <c r="N283" s="2" t="s">
        <v>18</v>
      </c>
    </row>
    <row r="284" spans="1:14" ht="15.75" customHeight="1" x14ac:dyDescent="0.35">
      <c r="A284" s="2" t="s">
        <v>573</v>
      </c>
      <c r="B284" s="2" t="str" cm="1">
        <f t="array" ref="B284">_xlfn.IFS(AND(LEN('Special Help Table'!$A284)-(LEN(SUBSTITUTE('Special Help Table'!$A284,";","")))=0,LEN('Special Help Table'!$A284)-LEN(SUBSTITUTE('Special Help Table'!$A284,",",""))=1,LEN('Special Help Table'!$A284)-LEN(SUBSTITUTE('Special Help Table'!$A284,"and ",""))=0),MID('Special Help Table'!$A284&amp;" "&amp;'Special Help Table'!$A284,SEARCH(", ",'Special Help Table'!$A284)+1,LEN('Special Help Table'!$A284)),AND(LEN('Special Help Table'!$A284)-(LEN(SUBSTITUTE('Special Help Table'!$A284,";","")))=1,LEN('Special Help Table'!$A284)-LEN(SUBSTITUTE('Special Help Table'!$A284,"and ",""))=0),MID('Special Help Table'!$A284,SEARCH(",",'Special Help Table'!$A284)+1,(SEARCH(";",'Special Help Table'!$A284)-1)-SEARCH(",",'Special Help Table'!$A284))&amp;" "&amp;LEFT('Special Help Table'!$A284,SEARCH(",",'Special Help Table'!$A284)-1)&amp;";"&amp;RIGHT('Special Help Table'!$A284,LEN('Special Help Table'!$A284)-SEARCH(",",'Special Help Table'!$A284,SEARCH(";",'Special Help Table'!$A284)))&amp;" "&amp;MID('Special Help Table'!$A284,SEARCH("; ",'Special Help Table'!$A284)+2,SEARCH(",",'Special Help Table'!$A284,SEARCH(";",'Special Help Table'!$A284))-SEARCH(";",'Special Help Table'!$A284)-2),AND(LEN('Special Help Table'!$A284)-LEN(SUBSTITUTE('Special Help Table'!$A284,"and ",""))=0,LEN('Special Help Table'!$A284)-LEN(SUBSTITUTE('Special Help Table'!$A284,";",""))=0),'Special Help Table'!$A284,AND(LEN('Special Help Table'!$A284)-LEN(SUBSTITUTE('Special Help Table'!$A284,",","")=1),LEN('Special Help Table'!$A284)-LEN(SUBSTITUTE('Special Help Table'!$A284," ","")=20),LEN('Special Help Table'!$A284)-LEN(SUBSTITUTE('Special Help Table'!$A284," and",""))=0,LEN('Special Help Table'!$A284)-LEN(SUBSTITUTE('Special Help Table'!$A284,",","",FIND(" ",'Special Help Table'!$A284)+1))=0),RIGHT('Special Help Table'!$A284,LEN('Special Help Table'!$A284)-FIND(", ",'Special Help Table'!$A284))&amp;" "&amp;LEFT('Special Help Table'!$A284,FIND(",",'Special Help Table'!$A284)-1),AND(LEN('Special Help Table'!$A284)-LEN(SUBSTITUTE('Special Help Table'!$A284,"editor",""))=6,LEN('Special Help Table'!$A284)-LEN(SUBSTITUTE('Special Help Table'!$A284,"(",""))=0,LEN('Special Help Table'!$A284)-LEN(SUBSTITUTE('Special Help Table'!$A284,"and",""))=3,LEN('Special Help Table'!$A284)-LEN(SUBSTITUTE('Special Help Table'!$A284,",",""))=1,LEN('Special Help Table'!$A284)-LEN(SUBSTITUTE('Special Help Table'!$A284," ",""))=3),'Special Help Table'!$A284)</f>
        <v xml:space="preserve"> Wayne Grudem</v>
      </c>
      <c r="C284" s="4" t="s">
        <v>577</v>
      </c>
      <c r="D284" s="2"/>
      <c r="E284" s="2" t="s">
        <v>16</v>
      </c>
      <c r="F284" s="2" t="s">
        <v>92</v>
      </c>
      <c r="G284" s="2"/>
      <c r="H284" s="2"/>
      <c r="I284" s="2"/>
      <c r="J284" s="2"/>
      <c r="K284" s="3">
        <v>40034</v>
      </c>
      <c r="L284" s="2"/>
      <c r="M284" s="2"/>
      <c r="N284" s="2" t="s">
        <v>18</v>
      </c>
    </row>
    <row r="285" spans="1:14" ht="15.75" customHeight="1" x14ac:dyDescent="0.35">
      <c r="A285" s="2" t="s">
        <v>578</v>
      </c>
      <c r="B285" s="2" t="str" cm="1">
        <f t="array" ref="B285">_xlfn.IFS(AND(LEN('Special Help Table'!$A285)-(LEN(SUBSTITUTE('Special Help Table'!$A285,";","")))=0,LEN('Special Help Table'!$A285)-LEN(SUBSTITUTE('Special Help Table'!$A285,",",""))=1,LEN('Special Help Table'!$A285)-LEN(SUBSTITUTE('Special Help Table'!$A285,"and ",""))=0),MID('Special Help Table'!$A285&amp;" "&amp;'Special Help Table'!$A285,SEARCH(", ",'Special Help Table'!$A285)+1,LEN('Special Help Table'!$A285)),AND(LEN('Special Help Table'!$A285)-(LEN(SUBSTITUTE('Special Help Table'!$A285,";","")))=1,LEN('Special Help Table'!$A285)-LEN(SUBSTITUTE('Special Help Table'!$A285,"and ",""))=0),MID('Special Help Table'!$A285,SEARCH(",",'Special Help Table'!$A285)+1,(SEARCH(";",'Special Help Table'!$A285)-1)-SEARCH(",",'Special Help Table'!$A285))&amp;" "&amp;LEFT('Special Help Table'!$A285,SEARCH(",",'Special Help Table'!$A285)-1)&amp;";"&amp;RIGHT('Special Help Table'!$A285,LEN('Special Help Table'!$A285)-SEARCH(",",'Special Help Table'!$A285,SEARCH(";",'Special Help Table'!$A285)))&amp;" "&amp;MID('Special Help Table'!$A285,SEARCH("; ",'Special Help Table'!$A285)+2,SEARCH(",",'Special Help Table'!$A285,SEARCH(";",'Special Help Table'!$A285))-SEARCH(";",'Special Help Table'!$A285)-2),AND(LEN('Special Help Table'!$A285)-LEN(SUBSTITUTE('Special Help Table'!$A285,"and ",""))=0,LEN('Special Help Table'!$A285)-LEN(SUBSTITUTE('Special Help Table'!$A285,";",""))=0),'Special Help Table'!$A285,AND(LEN('Special Help Table'!$A285)-LEN(SUBSTITUTE('Special Help Table'!$A285,",","")=1),LEN('Special Help Table'!$A285)-LEN(SUBSTITUTE('Special Help Table'!$A285," ","")=20),LEN('Special Help Table'!$A285)-LEN(SUBSTITUTE('Special Help Table'!$A285," and",""))=0,LEN('Special Help Table'!$A285)-LEN(SUBSTITUTE('Special Help Table'!$A285,",","",FIND(" ",'Special Help Table'!$A285)+1))=0),RIGHT('Special Help Table'!$A285,LEN('Special Help Table'!$A285)-FIND(", ",'Special Help Table'!$A285))&amp;" "&amp;LEFT('Special Help Table'!$A285,FIND(",",'Special Help Table'!$A285)-1),AND(LEN('Special Help Table'!$A285)-LEN(SUBSTITUTE('Special Help Table'!$A285,"editor",""))=6,LEN('Special Help Table'!$A285)-LEN(SUBSTITUTE('Special Help Table'!$A285,"(",""))=0,LEN('Special Help Table'!$A285)-LEN(SUBSTITUTE('Special Help Table'!$A285,"and",""))=3,LEN('Special Help Table'!$A285)-LEN(SUBSTITUTE('Special Help Table'!$A285,",",""))=1,LEN('Special Help Table'!$A285)-LEN(SUBSTITUTE('Special Help Table'!$A285," ",""))=3),'Special Help Table'!$A285)</f>
        <v xml:space="preserve"> Wayne (editors) Grudem</v>
      </c>
      <c r="C285" s="4" t="s">
        <v>579</v>
      </c>
      <c r="D285" s="2" t="s">
        <v>580</v>
      </c>
      <c r="E285" s="2" t="s">
        <v>16</v>
      </c>
      <c r="F285" s="2" t="s">
        <v>76</v>
      </c>
      <c r="G285" s="2"/>
      <c r="H285" s="2"/>
      <c r="I285" s="2"/>
      <c r="J285" s="2"/>
      <c r="K285" s="3">
        <v>41102</v>
      </c>
      <c r="L285" s="2"/>
      <c r="M285" s="2"/>
      <c r="N285" s="2" t="s">
        <v>18</v>
      </c>
    </row>
    <row r="286" spans="1:14" ht="15.75" customHeight="1" x14ac:dyDescent="0.35">
      <c r="A286" s="2" t="s">
        <v>581</v>
      </c>
      <c r="B286" s="2" t="str" cm="1">
        <f t="array" ref="B286">_xlfn.IFS(AND(LEN('Special Help Table'!$A286)-(LEN(SUBSTITUTE('Special Help Table'!$A286,";","")))=0,LEN('Special Help Table'!$A286)-LEN(SUBSTITUTE('Special Help Table'!$A286,",",""))=1,LEN('Special Help Table'!$A286)-LEN(SUBSTITUTE('Special Help Table'!$A286,"and ",""))=0),MID('Special Help Table'!$A286&amp;" "&amp;'Special Help Table'!$A286,SEARCH(", ",'Special Help Table'!$A286)+1,LEN('Special Help Table'!$A286)),AND(LEN('Special Help Table'!$A286)-(LEN(SUBSTITUTE('Special Help Table'!$A286,";","")))=1,LEN('Special Help Table'!$A286)-LEN(SUBSTITUTE('Special Help Table'!$A286,"and ",""))=0),MID('Special Help Table'!$A286,SEARCH(",",'Special Help Table'!$A286)+1,(SEARCH(";",'Special Help Table'!$A286)-1)-SEARCH(",",'Special Help Table'!$A286))&amp;" "&amp;LEFT('Special Help Table'!$A286,SEARCH(",",'Special Help Table'!$A286)-1)&amp;";"&amp;RIGHT('Special Help Table'!$A286,LEN('Special Help Table'!$A286)-SEARCH(",",'Special Help Table'!$A286,SEARCH(";",'Special Help Table'!$A286)))&amp;" "&amp;MID('Special Help Table'!$A286,SEARCH("; ",'Special Help Table'!$A286)+2,SEARCH(",",'Special Help Table'!$A286,SEARCH(";",'Special Help Table'!$A286))-SEARCH(";",'Special Help Table'!$A286)-2),AND(LEN('Special Help Table'!$A286)-LEN(SUBSTITUTE('Special Help Table'!$A286,"and ",""))=0,LEN('Special Help Table'!$A286)-LEN(SUBSTITUTE('Special Help Table'!$A286,";",""))=0),'Special Help Table'!$A286,AND(LEN('Special Help Table'!$A286)-LEN(SUBSTITUTE('Special Help Table'!$A286,",","")=1),LEN('Special Help Table'!$A286)-LEN(SUBSTITUTE('Special Help Table'!$A286," ","")=20),LEN('Special Help Table'!$A286)-LEN(SUBSTITUTE('Special Help Table'!$A286," and",""))=0,LEN('Special Help Table'!$A286)-LEN(SUBSTITUTE('Special Help Table'!$A286,",","",FIND(" ",'Special Help Table'!$A286)+1))=0),RIGHT('Special Help Table'!$A286,LEN('Special Help Table'!$A286)-FIND(", ",'Special Help Table'!$A286))&amp;" "&amp;LEFT('Special Help Table'!$A286,FIND(",",'Special Help Table'!$A286)-1),AND(LEN('Special Help Table'!$A286)-LEN(SUBSTITUTE('Special Help Table'!$A286,"editor",""))=6,LEN('Special Help Table'!$A286)-LEN(SUBSTITUTE('Special Help Table'!$A286,"(",""))=0,LEN('Special Help Table'!$A286)-LEN(SUBSTITUTE('Special Help Table'!$A286,"and",""))=3,LEN('Special Help Table'!$A286)-LEN(SUBSTITUTE('Special Help Table'!$A286,",",""))=1,LEN('Special Help Table'!$A286)-LEN(SUBSTITUTE('Special Help Table'!$A286," ",""))=3),'Special Help Table'!$A286)</f>
        <v xml:space="preserve"> Wayne Grudem; John Piper</v>
      </c>
      <c r="C286" s="4" t="s">
        <v>582</v>
      </c>
      <c r="D286" s="2" t="s">
        <v>583</v>
      </c>
      <c r="E286" s="2" t="s">
        <v>16</v>
      </c>
      <c r="F286" s="2" t="s">
        <v>17</v>
      </c>
      <c r="G286" s="2"/>
      <c r="H286" s="2"/>
      <c r="I286" s="2"/>
      <c r="J286" s="2" t="s">
        <v>584</v>
      </c>
      <c r="K286" s="3">
        <v>40034</v>
      </c>
      <c r="L286" s="2"/>
      <c r="M286" s="2"/>
      <c r="N286" s="2" t="s">
        <v>18</v>
      </c>
    </row>
    <row r="287" spans="1:14" ht="15.75" customHeight="1" x14ac:dyDescent="0.35">
      <c r="A287" s="2" t="s">
        <v>585</v>
      </c>
      <c r="B287" s="2" t="str" cm="1">
        <f t="array" ref="B287">_xlfn.IFS(AND(LEN('Special Help Table'!$A287)-(LEN(SUBSTITUTE('Special Help Table'!$A287,";","")))=0,LEN('Special Help Table'!$A287)-LEN(SUBSTITUTE('Special Help Table'!$A287,",",""))=1,LEN('Special Help Table'!$A287)-LEN(SUBSTITUTE('Special Help Table'!$A287,"and ",""))=0),MID('Special Help Table'!$A287&amp;" "&amp;'Special Help Table'!$A287,SEARCH(", ",'Special Help Table'!$A287)+1,LEN('Special Help Table'!$A287)),AND(LEN('Special Help Table'!$A287)-(LEN(SUBSTITUTE('Special Help Table'!$A287,";","")))=1,LEN('Special Help Table'!$A287)-LEN(SUBSTITUTE('Special Help Table'!$A287,"and ",""))=0),MID('Special Help Table'!$A287,SEARCH(",",'Special Help Table'!$A287)+1,(SEARCH(";",'Special Help Table'!$A287)-1)-SEARCH(",",'Special Help Table'!$A287))&amp;" "&amp;LEFT('Special Help Table'!$A287,SEARCH(",",'Special Help Table'!$A287)-1)&amp;";"&amp;RIGHT('Special Help Table'!$A287,LEN('Special Help Table'!$A287)-SEARCH(",",'Special Help Table'!$A287,SEARCH(";",'Special Help Table'!$A287)))&amp;" "&amp;MID('Special Help Table'!$A287,SEARCH("; ",'Special Help Table'!$A287)+2,SEARCH(",",'Special Help Table'!$A287,SEARCH(";",'Special Help Table'!$A287))-SEARCH(";",'Special Help Table'!$A287)-2),AND(LEN('Special Help Table'!$A287)-LEN(SUBSTITUTE('Special Help Table'!$A287,"and ",""))=0,LEN('Special Help Table'!$A287)-LEN(SUBSTITUTE('Special Help Table'!$A287,";",""))=0),'Special Help Table'!$A287,AND(LEN('Special Help Table'!$A287)-LEN(SUBSTITUTE('Special Help Table'!$A287,",","")=1),LEN('Special Help Table'!$A287)-LEN(SUBSTITUTE('Special Help Table'!$A287," ","")=20),LEN('Special Help Table'!$A287)-LEN(SUBSTITUTE('Special Help Table'!$A287," and",""))=0,LEN('Special Help Table'!$A287)-LEN(SUBSTITUTE('Special Help Table'!$A287,",","",FIND(" ",'Special Help Table'!$A287)+1))=0),RIGHT('Special Help Table'!$A287,LEN('Special Help Table'!$A287)-FIND(", ",'Special Help Table'!$A287))&amp;" "&amp;LEFT('Special Help Table'!$A287,FIND(",",'Special Help Table'!$A287)-1),AND(LEN('Special Help Table'!$A287)-LEN(SUBSTITUTE('Special Help Table'!$A287,"editor",""))=6,LEN('Special Help Table'!$A287)-LEN(SUBSTITUTE('Special Help Table'!$A287,"(",""))=0,LEN('Special Help Table'!$A287)-LEN(SUBSTITUTE('Special Help Table'!$A287,"and",""))=3,LEN('Special Help Table'!$A287)-LEN(SUBSTITUTE('Special Help Table'!$A287,",",""))=1,LEN('Special Help Table'!$A287)-LEN(SUBSTITUTE('Special Help Table'!$A287," ",""))=3),'Special Help Table'!$A287)</f>
        <v xml:space="preserve"> Os Guinness</v>
      </c>
      <c r="C287" s="4" t="s">
        <v>586</v>
      </c>
      <c r="D287" s="2"/>
      <c r="E287" s="2" t="s">
        <v>16</v>
      </c>
      <c r="F287" s="2" t="s">
        <v>28</v>
      </c>
      <c r="G287" s="2" t="s">
        <v>36</v>
      </c>
      <c r="H287" s="2"/>
      <c r="I287" s="2"/>
      <c r="J287" s="2" t="s">
        <v>587</v>
      </c>
      <c r="K287" s="3">
        <v>42309</v>
      </c>
      <c r="L287" s="2"/>
      <c r="M287" s="2"/>
      <c r="N287" s="2" t="s">
        <v>18</v>
      </c>
    </row>
    <row r="288" spans="1:14" ht="15.75" customHeight="1" x14ac:dyDescent="0.35">
      <c r="A288" s="2" t="s">
        <v>588</v>
      </c>
      <c r="B288" s="2" t="str" cm="1">
        <f t="array" ref="B288">_xlfn.IFS(AND(LEN('Special Help Table'!$A288)-(LEN(SUBSTITUTE('Special Help Table'!$A288,";","")))=0,LEN('Special Help Table'!$A288)-LEN(SUBSTITUTE('Special Help Table'!$A288,",",""))=1,LEN('Special Help Table'!$A288)-LEN(SUBSTITUTE('Special Help Table'!$A288,"and ",""))=0),MID('Special Help Table'!$A288&amp;" "&amp;'Special Help Table'!$A288,SEARCH(", ",'Special Help Table'!$A288)+1,LEN('Special Help Table'!$A288)),AND(LEN('Special Help Table'!$A288)-(LEN(SUBSTITUTE('Special Help Table'!$A288,";","")))=1,LEN('Special Help Table'!$A288)-LEN(SUBSTITUTE('Special Help Table'!$A288,"and ",""))=0),MID('Special Help Table'!$A288,SEARCH(",",'Special Help Table'!$A288)+1,(SEARCH(";",'Special Help Table'!$A288)-1)-SEARCH(",",'Special Help Table'!$A288))&amp;" "&amp;LEFT('Special Help Table'!$A288,SEARCH(",",'Special Help Table'!$A288)-1)&amp;";"&amp;RIGHT('Special Help Table'!$A288,LEN('Special Help Table'!$A288)-SEARCH(",",'Special Help Table'!$A288,SEARCH(";",'Special Help Table'!$A288)))&amp;" "&amp;MID('Special Help Table'!$A288,SEARCH("; ",'Special Help Table'!$A288)+2,SEARCH(",",'Special Help Table'!$A288,SEARCH(";",'Special Help Table'!$A288))-SEARCH(";",'Special Help Table'!$A288)-2),AND(LEN('Special Help Table'!$A288)-LEN(SUBSTITUTE('Special Help Table'!$A288,"and ",""))=0,LEN('Special Help Table'!$A288)-LEN(SUBSTITUTE('Special Help Table'!$A288,";",""))=0),'Special Help Table'!$A288,AND(LEN('Special Help Table'!$A288)-LEN(SUBSTITUTE('Special Help Table'!$A288,",","")=1),LEN('Special Help Table'!$A288)-LEN(SUBSTITUTE('Special Help Table'!$A288," ","")=20),LEN('Special Help Table'!$A288)-LEN(SUBSTITUTE('Special Help Table'!$A288," and",""))=0,LEN('Special Help Table'!$A288)-LEN(SUBSTITUTE('Special Help Table'!$A288,",","",FIND(" ",'Special Help Table'!$A288)+1))=0),RIGHT('Special Help Table'!$A288,LEN('Special Help Table'!$A288)-FIND(", ",'Special Help Table'!$A288))&amp;" "&amp;LEFT('Special Help Table'!$A288,FIND(",",'Special Help Table'!$A288)-1),AND(LEN('Special Help Table'!$A288)-LEN(SUBSTITUTE('Special Help Table'!$A288,"editor",""))=6,LEN('Special Help Table'!$A288)-LEN(SUBSTITUTE('Special Help Table'!$A288,"(",""))=0,LEN('Special Help Table'!$A288)-LEN(SUBSTITUTE('Special Help Table'!$A288,"and",""))=3,LEN('Special Help Table'!$A288)-LEN(SUBSTITUTE('Special Help Table'!$A288,",",""))=1,LEN('Special Help Table'!$A288)-LEN(SUBSTITUTE('Special Help Table'!$A288," ",""))=3),'Special Help Table'!$A288)</f>
        <v xml:space="preserve"> Nancy Guthrie</v>
      </c>
      <c r="C288" s="4" t="s">
        <v>589</v>
      </c>
      <c r="D288" s="2"/>
      <c r="E288" s="2" t="s">
        <v>16</v>
      </c>
      <c r="F288" s="2" t="s">
        <v>17</v>
      </c>
      <c r="G288" s="2"/>
      <c r="H288" s="2"/>
      <c r="I288" s="2"/>
      <c r="J288" s="2" t="s">
        <v>188</v>
      </c>
      <c r="K288" s="3">
        <v>42677</v>
      </c>
      <c r="L288" s="2"/>
      <c r="M288" s="2"/>
      <c r="N288" s="2" t="s">
        <v>18</v>
      </c>
    </row>
    <row r="289" spans="1:14" ht="15.75" customHeight="1" x14ac:dyDescent="0.35">
      <c r="A289" s="2" t="s">
        <v>588</v>
      </c>
      <c r="B289" s="2" t="str" cm="1">
        <f t="array" ref="B289">_xlfn.IFS(AND(LEN('Special Help Table'!$A289)-(LEN(SUBSTITUTE('Special Help Table'!$A289,";","")))=0,LEN('Special Help Table'!$A289)-LEN(SUBSTITUTE('Special Help Table'!$A289,",",""))=1,LEN('Special Help Table'!$A289)-LEN(SUBSTITUTE('Special Help Table'!$A289,"and ",""))=0),MID('Special Help Table'!$A289&amp;" "&amp;'Special Help Table'!$A289,SEARCH(", ",'Special Help Table'!$A289)+1,LEN('Special Help Table'!$A289)),AND(LEN('Special Help Table'!$A289)-(LEN(SUBSTITUTE('Special Help Table'!$A289,";","")))=1,LEN('Special Help Table'!$A289)-LEN(SUBSTITUTE('Special Help Table'!$A289,"and ",""))=0),MID('Special Help Table'!$A289,SEARCH(",",'Special Help Table'!$A289)+1,(SEARCH(";",'Special Help Table'!$A289)-1)-SEARCH(",",'Special Help Table'!$A289))&amp;" "&amp;LEFT('Special Help Table'!$A289,SEARCH(",",'Special Help Table'!$A289)-1)&amp;";"&amp;RIGHT('Special Help Table'!$A289,LEN('Special Help Table'!$A289)-SEARCH(",",'Special Help Table'!$A289,SEARCH(";",'Special Help Table'!$A289)))&amp;" "&amp;MID('Special Help Table'!$A289,SEARCH("; ",'Special Help Table'!$A289)+2,SEARCH(",",'Special Help Table'!$A289,SEARCH(";",'Special Help Table'!$A289))-SEARCH(";",'Special Help Table'!$A289)-2),AND(LEN('Special Help Table'!$A289)-LEN(SUBSTITUTE('Special Help Table'!$A289,"and ",""))=0,LEN('Special Help Table'!$A289)-LEN(SUBSTITUTE('Special Help Table'!$A289,";",""))=0),'Special Help Table'!$A289,AND(LEN('Special Help Table'!$A289)-LEN(SUBSTITUTE('Special Help Table'!$A289,",","")=1),LEN('Special Help Table'!$A289)-LEN(SUBSTITUTE('Special Help Table'!$A289," ","")=20),LEN('Special Help Table'!$A289)-LEN(SUBSTITUTE('Special Help Table'!$A289," and",""))=0,LEN('Special Help Table'!$A289)-LEN(SUBSTITUTE('Special Help Table'!$A289,",","",FIND(" ",'Special Help Table'!$A289)+1))=0),RIGHT('Special Help Table'!$A289,LEN('Special Help Table'!$A289)-FIND(", ",'Special Help Table'!$A289))&amp;" "&amp;LEFT('Special Help Table'!$A289,FIND(",",'Special Help Table'!$A289)-1),AND(LEN('Special Help Table'!$A289)-LEN(SUBSTITUTE('Special Help Table'!$A289,"editor",""))=6,LEN('Special Help Table'!$A289)-LEN(SUBSTITUTE('Special Help Table'!$A289,"(",""))=0,LEN('Special Help Table'!$A289)-LEN(SUBSTITUTE('Special Help Table'!$A289,"and",""))=3,LEN('Special Help Table'!$A289)-LEN(SUBSTITUTE('Special Help Table'!$A289,",",""))=1,LEN('Special Help Table'!$A289)-LEN(SUBSTITUTE('Special Help Table'!$A289," ",""))=3),'Special Help Table'!$A289)</f>
        <v xml:space="preserve"> Nancy Guthrie</v>
      </c>
      <c r="C289" s="4" t="s">
        <v>590</v>
      </c>
      <c r="D289" s="2"/>
      <c r="E289" s="2" t="s">
        <v>16</v>
      </c>
      <c r="F289" s="2" t="s">
        <v>36</v>
      </c>
      <c r="G289" s="2"/>
      <c r="H289" s="2"/>
      <c r="I289" s="2"/>
      <c r="J289" s="2"/>
      <c r="K289" s="3"/>
      <c r="L289" s="2"/>
      <c r="M289" s="2"/>
      <c r="N289" s="2" t="s">
        <v>18</v>
      </c>
    </row>
    <row r="290" spans="1:14" ht="15.75" customHeight="1" x14ac:dyDescent="0.35">
      <c r="A290" s="2" t="s">
        <v>588</v>
      </c>
      <c r="B290" s="2" t="str" cm="1">
        <f t="array" ref="B290">_xlfn.IFS(AND(LEN('Special Help Table'!$A290)-(LEN(SUBSTITUTE('Special Help Table'!$A290,";","")))=0,LEN('Special Help Table'!$A290)-LEN(SUBSTITUTE('Special Help Table'!$A290,",",""))=1,LEN('Special Help Table'!$A290)-LEN(SUBSTITUTE('Special Help Table'!$A290,"and ",""))=0),MID('Special Help Table'!$A290&amp;" "&amp;'Special Help Table'!$A290,SEARCH(", ",'Special Help Table'!$A290)+1,LEN('Special Help Table'!$A290)),AND(LEN('Special Help Table'!$A290)-(LEN(SUBSTITUTE('Special Help Table'!$A290,";","")))=1,LEN('Special Help Table'!$A290)-LEN(SUBSTITUTE('Special Help Table'!$A290,"and ",""))=0),MID('Special Help Table'!$A290,SEARCH(",",'Special Help Table'!$A290)+1,(SEARCH(";",'Special Help Table'!$A290)-1)-SEARCH(",",'Special Help Table'!$A290))&amp;" "&amp;LEFT('Special Help Table'!$A290,SEARCH(",",'Special Help Table'!$A290)-1)&amp;";"&amp;RIGHT('Special Help Table'!$A290,LEN('Special Help Table'!$A290)-SEARCH(",",'Special Help Table'!$A290,SEARCH(";",'Special Help Table'!$A290)))&amp;" "&amp;MID('Special Help Table'!$A290,SEARCH("; ",'Special Help Table'!$A290)+2,SEARCH(",",'Special Help Table'!$A290,SEARCH(";",'Special Help Table'!$A290))-SEARCH(";",'Special Help Table'!$A290)-2),AND(LEN('Special Help Table'!$A290)-LEN(SUBSTITUTE('Special Help Table'!$A290,"and ",""))=0,LEN('Special Help Table'!$A290)-LEN(SUBSTITUTE('Special Help Table'!$A290,";",""))=0),'Special Help Table'!$A290,AND(LEN('Special Help Table'!$A290)-LEN(SUBSTITUTE('Special Help Table'!$A290,",","")=1),LEN('Special Help Table'!$A290)-LEN(SUBSTITUTE('Special Help Table'!$A290," ","")=20),LEN('Special Help Table'!$A290)-LEN(SUBSTITUTE('Special Help Table'!$A290," and",""))=0,LEN('Special Help Table'!$A290)-LEN(SUBSTITUTE('Special Help Table'!$A290,",","",FIND(" ",'Special Help Table'!$A290)+1))=0),RIGHT('Special Help Table'!$A290,LEN('Special Help Table'!$A290)-FIND(", ",'Special Help Table'!$A290))&amp;" "&amp;LEFT('Special Help Table'!$A290,FIND(",",'Special Help Table'!$A290)-1),AND(LEN('Special Help Table'!$A290)-LEN(SUBSTITUTE('Special Help Table'!$A290,"editor",""))=6,LEN('Special Help Table'!$A290)-LEN(SUBSTITUTE('Special Help Table'!$A290,"(",""))=0,LEN('Special Help Table'!$A290)-LEN(SUBSTITUTE('Special Help Table'!$A290,"and",""))=3,LEN('Special Help Table'!$A290)-LEN(SUBSTITUTE('Special Help Table'!$A290,",",""))=1,LEN('Special Help Table'!$A290)-LEN(SUBSTITUTE('Special Help Table'!$A290," ",""))=3),'Special Help Table'!$A290)</f>
        <v xml:space="preserve"> Nancy Guthrie</v>
      </c>
      <c r="C290" s="4" t="s">
        <v>591</v>
      </c>
      <c r="D290" s="2"/>
      <c r="E290" s="2" t="s">
        <v>16</v>
      </c>
      <c r="F290" s="2" t="s">
        <v>17</v>
      </c>
      <c r="G290" s="2"/>
      <c r="H290" s="2"/>
      <c r="I290" s="2"/>
      <c r="J290" s="2" t="s">
        <v>592</v>
      </c>
      <c r="K290" s="3">
        <v>44423</v>
      </c>
      <c r="L290" s="2"/>
      <c r="M290" s="2"/>
      <c r="N290" s="2" t="s">
        <v>18</v>
      </c>
    </row>
    <row r="291" spans="1:14" ht="15.75" customHeight="1" x14ac:dyDescent="0.35">
      <c r="A291" s="2" t="s">
        <v>588</v>
      </c>
      <c r="B291" s="2" t="str" cm="1">
        <f t="array" ref="B291">_xlfn.IFS(AND(LEN('Special Help Table'!$A291)-(LEN(SUBSTITUTE('Special Help Table'!$A291,";","")))=0,LEN('Special Help Table'!$A291)-LEN(SUBSTITUTE('Special Help Table'!$A291,",",""))=1,LEN('Special Help Table'!$A291)-LEN(SUBSTITUTE('Special Help Table'!$A291,"and ",""))=0),MID('Special Help Table'!$A291&amp;" "&amp;'Special Help Table'!$A291,SEARCH(", ",'Special Help Table'!$A291)+1,LEN('Special Help Table'!$A291)),AND(LEN('Special Help Table'!$A291)-(LEN(SUBSTITUTE('Special Help Table'!$A291,";","")))=1,LEN('Special Help Table'!$A291)-LEN(SUBSTITUTE('Special Help Table'!$A291,"and ",""))=0),MID('Special Help Table'!$A291,SEARCH(",",'Special Help Table'!$A291)+1,(SEARCH(";",'Special Help Table'!$A291)-1)-SEARCH(",",'Special Help Table'!$A291))&amp;" "&amp;LEFT('Special Help Table'!$A291,SEARCH(",",'Special Help Table'!$A291)-1)&amp;";"&amp;RIGHT('Special Help Table'!$A291,LEN('Special Help Table'!$A291)-SEARCH(",",'Special Help Table'!$A291,SEARCH(";",'Special Help Table'!$A291)))&amp;" "&amp;MID('Special Help Table'!$A291,SEARCH("; ",'Special Help Table'!$A291)+2,SEARCH(",",'Special Help Table'!$A291,SEARCH(";",'Special Help Table'!$A291))-SEARCH(";",'Special Help Table'!$A291)-2),AND(LEN('Special Help Table'!$A291)-LEN(SUBSTITUTE('Special Help Table'!$A291,"and ",""))=0,LEN('Special Help Table'!$A291)-LEN(SUBSTITUTE('Special Help Table'!$A291,";",""))=0),'Special Help Table'!$A291,AND(LEN('Special Help Table'!$A291)-LEN(SUBSTITUTE('Special Help Table'!$A291,",","")=1),LEN('Special Help Table'!$A291)-LEN(SUBSTITUTE('Special Help Table'!$A291," ","")=20),LEN('Special Help Table'!$A291)-LEN(SUBSTITUTE('Special Help Table'!$A291," and",""))=0,LEN('Special Help Table'!$A291)-LEN(SUBSTITUTE('Special Help Table'!$A291,",","",FIND(" ",'Special Help Table'!$A291)+1))=0),RIGHT('Special Help Table'!$A291,LEN('Special Help Table'!$A291)-FIND(", ",'Special Help Table'!$A291))&amp;" "&amp;LEFT('Special Help Table'!$A291,FIND(",",'Special Help Table'!$A291)-1),AND(LEN('Special Help Table'!$A291)-LEN(SUBSTITUTE('Special Help Table'!$A291,"editor",""))=6,LEN('Special Help Table'!$A291)-LEN(SUBSTITUTE('Special Help Table'!$A291,"(",""))=0,LEN('Special Help Table'!$A291)-LEN(SUBSTITUTE('Special Help Table'!$A291,"and",""))=3,LEN('Special Help Table'!$A291)-LEN(SUBSTITUTE('Special Help Table'!$A291,",",""))=1,LEN('Special Help Table'!$A291)-LEN(SUBSTITUTE('Special Help Table'!$A291," ",""))=3),'Special Help Table'!$A291)</f>
        <v xml:space="preserve"> Nancy Guthrie</v>
      </c>
      <c r="C291" s="4" t="s">
        <v>593</v>
      </c>
      <c r="D291" s="2"/>
      <c r="E291" s="2" t="s">
        <v>16</v>
      </c>
      <c r="F291" s="2" t="s">
        <v>36</v>
      </c>
      <c r="G291" s="2"/>
      <c r="H291" s="2"/>
      <c r="I291" s="2"/>
      <c r="J291" s="2"/>
      <c r="K291" s="3"/>
      <c r="L291" s="2"/>
      <c r="M291" s="2"/>
      <c r="N291" s="2" t="s">
        <v>18</v>
      </c>
    </row>
    <row r="292" spans="1:14" ht="15.75" customHeight="1" x14ac:dyDescent="0.35">
      <c r="A292" s="2" t="s">
        <v>588</v>
      </c>
      <c r="B292" s="2" t="str" cm="1">
        <f t="array" ref="B292">_xlfn.IFS(AND(LEN('Special Help Table'!$A292)-(LEN(SUBSTITUTE('Special Help Table'!$A292,";","")))=0,LEN('Special Help Table'!$A292)-LEN(SUBSTITUTE('Special Help Table'!$A292,",",""))=1,LEN('Special Help Table'!$A292)-LEN(SUBSTITUTE('Special Help Table'!$A292,"and ",""))=0),MID('Special Help Table'!$A292&amp;" "&amp;'Special Help Table'!$A292,SEARCH(", ",'Special Help Table'!$A292)+1,LEN('Special Help Table'!$A292)),AND(LEN('Special Help Table'!$A292)-(LEN(SUBSTITUTE('Special Help Table'!$A292,";","")))=1,LEN('Special Help Table'!$A292)-LEN(SUBSTITUTE('Special Help Table'!$A292,"and ",""))=0),MID('Special Help Table'!$A292,SEARCH(",",'Special Help Table'!$A292)+1,(SEARCH(";",'Special Help Table'!$A292)-1)-SEARCH(",",'Special Help Table'!$A292))&amp;" "&amp;LEFT('Special Help Table'!$A292,SEARCH(",",'Special Help Table'!$A292)-1)&amp;";"&amp;RIGHT('Special Help Table'!$A292,LEN('Special Help Table'!$A292)-SEARCH(",",'Special Help Table'!$A292,SEARCH(";",'Special Help Table'!$A292)))&amp;" "&amp;MID('Special Help Table'!$A292,SEARCH("; ",'Special Help Table'!$A292)+2,SEARCH(",",'Special Help Table'!$A292,SEARCH(";",'Special Help Table'!$A292))-SEARCH(";",'Special Help Table'!$A292)-2),AND(LEN('Special Help Table'!$A292)-LEN(SUBSTITUTE('Special Help Table'!$A292,"and ",""))=0,LEN('Special Help Table'!$A292)-LEN(SUBSTITUTE('Special Help Table'!$A292,";",""))=0),'Special Help Table'!$A292,AND(LEN('Special Help Table'!$A292)-LEN(SUBSTITUTE('Special Help Table'!$A292,",","")=1),LEN('Special Help Table'!$A292)-LEN(SUBSTITUTE('Special Help Table'!$A292," ","")=20),LEN('Special Help Table'!$A292)-LEN(SUBSTITUTE('Special Help Table'!$A292," and",""))=0,LEN('Special Help Table'!$A292)-LEN(SUBSTITUTE('Special Help Table'!$A292,",","",FIND(" ",'Special Help Table'!$A292)+1))=0),RIGHT('Special Help Table'!$A292,LEN('Special Help Table'!$A292)-FIND(", ",'Special Help Table'!$A292))&amp;" "&amp;LEFT('Special Help Table'!$A292,FIND(",",'Special Help Table'!$A292)-1),AND(LEN('Special Help Table'!$A292)-LEN(SUBSTITUTE('Special Help Table'!$A292,"editor",""))=6,LEN('Special Help Table'!$A292)-LEN(SUBSTITUTE('Special Help Table'!$A292,"(",""))=0,LEN('Special Help Table'!$A292)-LEN(SUBSTITUTE('Special Help Table'!$A292,"and",""))=3,LEN('Special Help Table'!$A292)-LEN(SUBSTITUTE('Special Help Table'!$A292,",",""))=1,LEN('Special Help Table'!$A292)-LEN(SUBSTITUTE('Special Help Table'!$A292," ",""))=3),'Special Help Table'!$A292)</f>
        <v xml:space="preserve"> Nancy Guthrie</v>
      </c>
      <c r="C292" s="4" t="s">
        <v>594</v>
      </c>
      <c r="D292" s="2"/>
      <c r="E292" s="2" t="s">
        <v>16</v>
      </c>
      <c r="F292" s="2" t="s">
        <v>72</v>
      </c>
      <c r="G292" s="2"/>
      <c r="H292" s="2"/>
      <c r="I292" s="2"/>
      <c r="J292" s="2"/>
      <c r="K292" s="3"/>
      <c r="L292" s="2"/>
      <c r="M292" s="2"/>
      <c r="N292" s="2" t="s">
        <v>18</v>
      </c>
    </row>
    <row r="293" spans="1:14" ht="15.75" customHeight="1" x14ac:dyDescent="0.35">
      <c r="A293" s="2" t="s">
        <v>588</v>
      </c>
      <c r="B293" s="2" t="str" cm="1">
        <f t="array" ref="B293">_xlfn.IFS(AND(LEN('Special Help Table'!$A293)-(LEN(SUBSTITUTE('Special Help Table'!$A293,";","")))=0,LEN('Special Help Table'!$A293)-LEN(SUBSTITUTE('Special Help Table'!$A293,",",""))=1,LEN('Special Help Table'!$A293)-LEN(SUBSTITUTE('Special Help Table'!$A293,"and ",""))=0),MID('Special Help Table'!$A293&amp;" "&amp;'Special Help Table'!$A293,SEARCH(", ",'Special Help Table'!$A293)+1,LEN('Special Help Table'!$A293)),AND(LEN('Special Help Table'!$A293)-(LEN(SUBSTITUTE('Special Help Table'!$A293,";","")))=1,LEN('Special Help Table'!$A293)-LEN(SUBSTITUTE('Special Help Table'!$A293,"and ",""))=0),MID('Special Help Table'!$A293,SEARCH(",",'Special Help Table'!$A293)+1,(SEARCH(";",'Special Help Table'!$A293)-1)-SEARCH(",",'Special Help Table'!$A293))&amp;" "&amp;LEFT('Special Help Table'!$A293,SEARCH(",",'Special Help Table'!$A293)-1)&amp;";"&amp;RIGHT('Special Help Table'!$A293,LEN('Special Help Table'!$A293)-SEARCH(",",'Special Help Table'!$A293,SEARCH(";",'Special Help Table'!$A293)))&amp;" "&amp;MID('Special Help Table'!$A293,SEARCH("; ",'Special Help Table'!$A293)+2,SEARCH(",",'Special Help Table'!$A293,SEARCH(";",'Special Help Table'!$A293))-SEARCH(";",'Special Help Table'!$A293)-2),AND(LEN('Special Help Table'!$A293)-LEN(SUBSTITUTE('Special Help Table'!$A293,"and ",""))=0,LEN('Special Help Table'!$A293)-LEN(SUBSTITUTE('Special Help Table'!$A293,";",""))=0),'Special Help Table'!$A293,AND(LEN('Special Help Table'!$A293)-LEN(SUBSTITUTE('Special Help Table'!$A293,",","")=1),LEN('Special Help Table'!$A293)-LEN(SUBSTITUTE('Special Help Table'!$A293," ","")=20),LEN('Special Help Table'!$A293)-LEN(SUBSTITUTE('Special Help Table'!$A293," and",""))=0,LEN('Special Help Table'!$A293)-LEN(SUBSTITUTE('Special Help Table'!$A293,",","",FIND(" ",'Special Help Table'!$A293)+1))=0),RIGHT('Special Help Table'!$A293,LEN('Special Help Table'!$A293)-FIND(", ",'Special Help Table'!$A293))&amp;" "&amp;LEFT('Special Help Table'!$A293,FIND(",",'Special Help Table'!$A293)-1),AND(LEN('Special Help Table'!$A293)-LEN(SUBSTITUTE('Special Help Table'!$A293,"editor",""))=6,LEN('Special Help Table'!$A293)-LEN(SUBSTITUTE('Special Help Table'!$A293,"(",""))=0,LEN('Special Help Table'!$A293)-LEN(SUBSTITUTE('Special Help Table'!$A293,"and",""))=3,LEN('Special Help Table'!$A293)-LEN(SUBSTITUTE('Special Help Table'!$A293,",",""))=1,LEN('Special Help Table'!$A293)-LEN(SUBSTITUTE('Special Help Table'!$A293," ",""))=3),'Special Help Table'!$A293)</f>
        <v xml:space="preserve"> Nancy Guthrie</v>
      </c>
      <c r="C293" s="4" t="s">
        <v>595</v>
      </c>
      <c r="D293" s="2"/>
      <c r="E293" s="2" t="s">
        <v>16</v>
      </c>
      <c r="F293" s="2" t="s">
        <v>17</v>
      </c>
      <c r="G293" s="2"/>
      <c r="H293" s="2"/>
      <c r="I293" s="2"/>
      <c r="J293" s="2" t="s">
        <v>596</v>
      </c>
      <c r="K293" s="3">
        <v>43095</v>
      </c>
      <c r="L293" s="2"/>
      <c r="M293" s="2"/>
      <c r="N293" s="2" t="s">
        <v>18</v>
      </c>
    </row>
    <row r="294" spans="1:14" ht="15.75" customHeight="1" x14ac:dyDescent="0.35">
      <c r="A294" s="2" t="s">
        <v>597</v>
      </c>
      <c r="B294" s="2" t="str" cm="1">
        <f t="array" ref="B294">_xlfn.IFS(AND(LEN('Special Help Table'!$A294)-(LEN(SUBSTITUTE('Special Help Table'!$A294,";","")))=0,LEN('Special Help Table'!$A294)-LEN(SUBSTITUTE('Special Help Table'!$A294,",",""))=1,LEN('Special Help Table'!$A294)-LEN(SUBSTITUTE('Special Help Table'!$A294,"and ",""))=0),MID('Special Help Table'!$A294&amp;" "&amp;'Special Help Table'!$A294,SEARCH(", ",'Special Help Table'!$A294)+1,LEN('Special Help Table'!$A294)),AND(LEN('Special Help Table'!$A294)-(LEN(SUBSTITUTE('Special Help Table'!$A294,";","")))=1,LEN('Special Help Table'!$A294)-LEN(SUBSTITUTE('Special Help Table'!$A294,"and ",""))=0),MID('Special Help Table'!$A294,SEARCH(",",'Special Help Table'!$A294)+1,(SEARCH(";",'Special Help Table'!$A294)-1)-SEARCH(",",'Special Help Table'!$A294))&amp;" "&amp;LEFT('Special Help Table'!$A294,SEARCH(",",'Special Help Table'!$A294)-1)&amp;";"&amp;RIGHT('Special Help Table'!$A294,LEN('Special Help Table'!$A294)-SEARCH(",",'Special Help Table'!$A294,SEARCH(";",'Special Help Table'!$A294)))&amp;" "&amp;MID('Special Help Table'!$A294,SEARCH("; ",'Special Help Table'!$A294)+2,SEARCH(",",'Special Help Table'!$A294,SEARCH(";",'Special Help Table'!$A294))-SEARCH(";",'Special Help Table'!$A294)-2),AND(LEN('Special Help Table'!$A294)-LEN(SUBSTITUTE('Special Help Table'!$A294,"and ",""))=0,LEN('Special Help Table'!$A294)-LEN(SUBSTITUTE('Special Help Table'!$A294,";",""))=0),'Special Help Table'!$A294,AND(LEN('Special Help Table'!$A294)-LEN(SUBSTITUTE('Special Help Table'!$A294,",","")=1),LEN('Special Help Table'!$A294)-LEN(SUBSTITUTE('Special Help Table'!$A294," ","")=20),LEN('Special Help Table'!$A294)-LEN(SUBSTITUTE('Special Help Table'!$A294," and",""))=0,LEN('Special Help Table'!$A294)-LEN(SUBSTITUTE('Special Help Table'!$A294,",","",FIND(" ",'Special Help Table'!$A294)+1))=0),RIGHT('Special Help Table'!$A294,LEN('Special Help Table'!$A294)-FIND(", ",'Special Help Table'!$A294))&amp;" "&amp;LEFT('Special Help Table'!$A294,FIND(",",'Special Help Table'!$A294)-1),AND(LEN('Special Help Table'!$A294)-LEN(SUBSTITUTE('Special Help Table'!$A294,"editor",""))=6,LEN('Special Help Table'!$A294)-LEN(SUBSTITUTE('Special Help Table'!$A294,"(",""))=0,LEN('Special Help Table'!$A294)-LEN(SUBSTITUTE('Special Help Table'!$A294,"and",""))=3,LEN('Special Help Table'!$A294)-LEN(SUBSTITUTE('Special Help Table'!$A294,",",""))=1,LEN('Special Help Table'!$A294)-LEN(SUBSTITUTE('Special Help Table'!$A294," ",""))=3),'Special Help Table'!$A294)</f>
        <v xml:space="preserve"> William Guthrie</v>
      </c>
      <c r="C294" s="4" t="s">
        <v>598</v>
      </c>
      <c r="D294" s="2"/>
      <c r="E294" s="2" t="s">
        <v>16</v>
      </c>
      <c r="F294" s="2" t="s">
        <v>36</v>
      </c>
      <c r="G294" s="2"/>
      <c r="H294" s="2" t="s">
        <v>82</v>
      </c>
      <c r="I294" s="2"/>
      <c r="J294" s="2"/>
      <c r="K294" s="3"/>
      <c r="L294" s="2"/>
      <c r="M294" s="2"/>
      <c r="N294" s="2" t="s">
        <v>18</v>
      </c>
    </row>
    <row r="295" spans="1:14" ht="15.75" customHeight="1" x14ac:dyDescent="0.35">
      <c r="A295" s="2" t="s">
        <v>599</v>
      </c>
      <c r="B295" s="2" t="str" cm="1">
        <f t="array" ref="B295">_xlfn.IFS(AND(LEN('Special Help Table'!$A295)-(LEN(SUBSTITUTE('Special Help Table'!$A295,";","")))=0,LEN('Special Help Table'!$A295)-LEN(SUBSTITUTE('Special Help Table'!$A295,",",""))=1,LEN('Special Help Table'!$A295)-LEN(SUBSTITUTE('Special Help Table'!$A295,"and ",""))=0),MID('Special Help Table'!$A295&amp;" "&amp;'Special Help Table'!$A295,SEARCH(", ",'Special Help Table'!$A295)+1,LEN('Special Help Table'!$A295)),AND(LEN('Special Help Table'!$A295)-(LEN(SUBSTITUTE('Special Help Table'!$A295,";","")))=1,LEN('Special Help Table'!$A295)-LEN(SUBSTITUTE('Special Help Table'!$A295,"and ",""))=0),MID('Special Help Table'!$A295,SEARCH(",",'Special Help Table'!$A295)+1,(SEARCH(";",'Special Help Table'!$A295)-1)-SEARCH(",",'Special Help Table'!$A295))&amp;" "&amp;LEFT('Special Help Table'!$A295,SEARCH(",",'Special Help Table'!$A295)-1)&amp;";"&amp;RIGHT('Special Help Table'!$A295,LEN('Special Help Table'!$A295)-SEARCH(",",'Special Help Table'!$A295,SEARCH(";",'Special Help Table'!$A295)))&amp;" "&amp;MID('Special Help Table'!$A295,SEARCH("; ",'Special Help Table'!$A295)+2,SEARCH(",",'Special Help Table'!$A295,SEARCH(";",'Special Help Table'!$A295))-SEARCH(";",'Special Help Table'!$A295)-2),AND(LEN('Special Help Table'!$A295)-LEN(SUBSTITUTE('Special Help Table'!$A295,"and ",""))=0,LEN('Special Help Table'!$A295)-LEN(SUBSTITUTE('Special Help Table'!$A295,";",""))=0),'Special Help Table'!$A295,AND(LEN('Special Help Table'!$A295)-LEN(SUBSTITUTE('Special Help Table'!$A295,",","")=1),LEN('Special Help Table'!$A295)-LEN(SUBSTITUTE('Special Help Table'!$A295," ","")=20),LEN('Special Help Table'!$A295)-LEN(SUBSTITUTE('Special Help Table'!$A295," and",""))=0,LEN('Special Help Table'!$A295)-LEN(SUBSTITUTE('Special Help Table'!$A295,",","",FIND(" ",'Special Help Table'!$A295)+1))=0),RIGHT('Special Help Table'!$A295,LEN('Special Help Table'!$A295)-FIND(", ",'Special Help Table'!$A295))&amp;" "&amp;LEFT('Special Help Table'!$A295,FIND(",",'Special Help Table'!$A295)-1),AND(LEN('Special Help Table'!$A295)-LEN(SUBSTITUTE('Special Help Table'!$A295,"editor",""))=6,LEN('Special Help Table'!$A295)-LEN(SUBSTITUTE('Special Help Table'!$A295,"(",""))=0,LEN('Special Help Table'!$A295)-LEN(SUBSTITUTE('Special Help Table'!$A295,"and",""))=3,LEN('Special Help Table'!$A295)-LEN(SUBSTITUTE('Special Help Table'!$A295,",",""))=1,LEN('Special Help Table'!$A295)-LEN(SUBSTITUTE('Special Help Table'!$A295," ",""))=3),'Special Help Table'!$A295)</f>
        <v xml:space="preserve"> Ken Ham</v>
      </c>
      <c r="C295" s="4" t="s">
        <v>600</v>
      </c>
      <c r="D295" s="2"/>
      <c r="E295" s="2" t="s">
        <v>16</v>
      </c>
      <c r="F295" s="2" t="s">
        <v>20</v>
      </c>
      <c r="G295" s="2"/>
      <c r="H295" s="2"/>
      <c r="I295" s="2"/>
      <c r="J295" s="2" t="s">
        <v>601</v>
      </c>
      <c r="K295" s="3">
        <v>42511</v>
      </c>
      <c r="L295" s="2"/>
      <c r="M295" s="2"/>
      <c r="N295" s="2" t="s">
        <v>18</v>
      </c>
    </row>
    <row r="296" spans="1:14" ht="15.75" customHeight="1" x14ac:dyDescent="0.35">
      <c r="A296" s="2" t="s">
        <v>602</v>
      </c>
      <c r="B296" s="2" t="str" cm="1">
        <f t="array" ref="B296">_xlfn.IFS(AND(LEN('Special Help Table'!$A296)-(LEN(SUBSTITUTE('Special Help Table'!$A296,";","")))=0,LEN('Special Help Table'!$A296)-LEN(SUBSTITUTE('Special Help Table'!$A296,",",""))=1,LEN('Special Help Table'!$A296)-LEN(SUBSTITUTE('Special Help Table'!$A296,"and ",""))=0),MID('Special Help Table'!$A296&amp;" "&amp;'Special Help Table'!$A296,SEARCH(", ",'Special Help Table'!$A296)+1,LEN('Special Help Table'!$A296)),AND(LEN('Special Help Table'!$A296)-(LEN(SUBSTITUTE('Special Help Table'!$A296,";","")))=1,LEN('Special Help Table'!$A296)-LEN(SUBSTITUTE('Special Help Table'!$A296,"and ",""))=0),MID('Special Help Table'!$A296,SEARCH(",",'Special Help Table'!$A296)+1,(SEARCH(";",'Special Help Table'!$A296)-1)-SEARCH(",",'Special Help Table'!$A296))&amp;" "&amp;LEFT('Special Help Table'!$A296,SEARCH(",",'Special Help Table'!$A296)-1)&amp;";"&amp;RIGHT('Special Help Table'!$A296,LEN('Special Help Table'!$A296)-SEARCH(",",'Special Help Table'!$A296,SEARCH(";",'Special Help Table'!$A296)))&amp;" "&amp;MID('Special Help Table'!$A296,SEARCH("; ",'Special Help Table'!$A296)+2,SEARCH(",",'Special Help Table'!$A296,SEARCH(";",'Special Help Table'!$A296))-SEARCH(";",'Special Help Table'!$A296)-2),AND(LEN('Special Help Table'!$A296)-LEN(SUBSTITUTE('Special Help Table'!$A296,"and ",""))=0,LEN('Special Help Table'!$A296)-LEN(SUBSTITUTE('Special Help Table'!$A296,";",""))=0),'Special Help Table'!$A296,AND(LEN('Special Help Table'!$A296)-LEN(SUBSTITUTE('Special Help Table'!$A296,",","")=1),LEN('Special Help Table'!$A296)-LEN(SUBSTITUTE('Special Help Table'!$A296," ","")=20),LEN('Special Help Table'!$A296)-LEN(SUBSTITUTE('Special Help Table'!$A296," and",""))=0,LEN('Special Help Table'!$A296)-LEN(SUBSTITUTE('Special Help Table'!$A296,",","",FIND(" ",'Special Help Table'!$A296)+1))=0),RIGHT('Special Help Table'!$A296,LEN('Special Help Table'!$A296)-FIND(", ",'Special Help Table'!$A296))&amp;" "&amp;LEFT('Special Help Table'!$A296,FIND(",",'Special Help Table'!$A296)-1),AND(LEN('Special Help Table'!$A296)-LEN(SUBSTITUTE('Special Help Table'!$A296,"editor",""))=6,LEN('Special Help Table'!$A296)-LEN(SUBSTITUTE('Special Help Table'!$A296,"(",""))=0,LEN('Special Help Table'!$A296)-LEN(SUBSTITUTE('Special Help Table'!$A296,"and",""))=3,LEN('Special Help Table'!$A296)-LEN(SUBSTITUTE('Special Help Table'!$A296,",",""))=1,LEN('Special Help Table'!$A296)-LEN(SUBSTITUTE('Special Help Table'!$A296," ",""))=3),'Special Help Table'!$A296)</f>
        <v xml:space="preserve"> Sharon Hambrick</v>
      </c>
      <c r="C296" s="4" t="s">
        <v>603</v>
      </c>
      <c r="D296" s="2"/>
      <c r="E296" s="2" t="s">
        <v>16</v>
      </c>
      <c r="F296" s="2" t="s">
        <v>72</v>
      </c>
      <c r="G296" s="2"/>
      <c r="H296" s="2"/>
      <c r="I296" s="2"/>
      <c r="J296" s="2"/>
      <c r="K296" s="3">
        <v>41164</v>
      </c>
      <c r="L296" s="2"/>
      <c r="M296" s="2"/>
      <c r="N296" s="2" t="s">
        <v>18</v>
      </c>
    </row>
    <row r="297" spans="1:14" ht="15.75" customHeight="1" x14ac:dyDescent="0.35">
      <c r="A297" s="2" t="s">
        <v>604</v>
      </c>
      <c r="B297" s="2" t="str" cm="1">
        <f t="array" ref="B297">_xlfn.IFS(AND(LEN('Special Help Table'!$A297)-(LEN(SUBSTITUTE('Special Help Table'!$A297,";","")))=0,LEN('Special Help Table'!$A297)-LEN(SUBSTITUTE('Special Help Table'!$A297,",",""))=1,LEN('Special Help Table'!$A297)-LEN(SUBSTITUTE('Special Help Table'!$A297,"and ",""))=0),MID('Special Help Table'!$A297&amp;" "&amp;'Special Help Table'!$A297,SEARCH(", ",'Special Help Table'!$A297)+1,LEN('Special Help Table'!$A297)),AND(LEN('Special Help Table'!$A297)-(LEN(SUBSTITUTE('Special Help Table'!$A297,";","")))=1,LEN('Special Help Table'!$A297)-LEN(SUBSTITUTE('Special Help Table'!$A297,"and ",""))=0),MID('Special Help Table'!$A297,SEARCH(",",'Special Help Table'!$A297)+1,(SEARCH(";",'Special Help Table'!$A297)-1)-SEARCH(",",'Special Help Table'!$A297))&amp;" "&amp;LEFT('Special Help Table'!$A297,SEARCH(",",'Special Help Table'!$A297)-1)&amp;";"&amp;RIGHT('Special Help Table'!$A297,LEN('Special Help Table'!$A297)-SEARCH(",",'Special Help Table'!$A297,SEARCH(";",'Special Help Table'!$A297)))&amp;" "&amp;MID('Special Help Table'!$A297,SEARCH("; ",'Special Help Table'!$A297)+2,SEARCH(",",'Special Help Table'!$A297,SEARCH(";",'Special Help Table'!$A297))-SEARCH(";",'Special Help Table'!$A297)-2),AND(LEN('Special Help Table'!$A297)-LEN(SUBSTITUTE('Special Help Table'!$A297,"and ",""))=0,LEN('Special Help Table'!$A297)-LEN(SUBSTITUTE('Special Help Table'!$A297,";",""))=0),'Special Help Table'!$A297,AND(LEN('Special Help Table'!$A297)-LEN(SUBSTITUTE('Special Help Table'!$A297,",","")=1),LEN('Special Help Table'!$A297)-LEN(SUBSTITUTE('Special Help Table'!$A297," ","")=20),LEN('Special Help Table'!$A297)-LEN(SUBSTITUTE('Special Help Table'!$A297," and",""))=0,LEN('Special Help Table'!$A297)-LEN(SUBSTITUTE('Special Help Table'!$A297,",","",FIND(" ",'Special Help Table'!$A297)+1))=0),RIGHT('Special Help Table'!$A297,LEN('Special Help Table'!$A297)-FIND(", ",'Special Help Table'!$A297))&amp;" "&amp;LEFT('Special Help Table'!$A297,FIND(",",'Special Help Table'!$A297)-1),AND(LEN('Special Help Table'!$A297)-LEN(SUBSTITUTE('Special Help Table'!$A297,"editor",""))=6,LEN('Special Help Table'!$A297)-LEN(SUBSTITUTE('Special Help Table'!$A297,"(",""))=0,LEN('Special Help Table'!$A297)-LEN(SUBSTITUTE('Special Help Table'!$A297,"and",""))=3,LEN('Special Help Table'!$A297)-LEN(SUBSTITUTE('Special Help Table'!$A297,",",""))=1,LEN('Special Help Table'!$A297)-LEN(SUBSTITUTE('Special Help Table'!$A297," ",""))=3),'Special Help Table'!$A297)</f>
        <v xml:space="preserve"> James M. Jr Hamilton</v>
      </c>
      <c r="C297" s="4" t="s">
        <v>605</v>
      </c>
      <c r="D297" s="2"/>
      <c r="E297" s="2" t="s">
        <v>16</v>
      </c>
      <c r="F297" s="2" t="s">
        <v>72</v>
      </c>
      <c r="G297" s="2"/>
      <c r="H297" s="2"/>
      <c r="I297" s="2"/>
      <c r="J297" s="2"/>
      <c r="K297" s="3">
        <v>42200</v>
      </c>
      <c r="L297" s="2"/>
      <c r="M297" s="2"/>
      <c r="N297" s="2" t="s">
        <v>18</v>
      </c>
    </row>
    <row r="298" spans="1:14" ht="15.75" customHeight="1" x14ac:dyDescent="0.35">
      <c r="A298" s="2" t="s">
        <v>604</v>
      </c>
      <c r="B298" s="2" t="str" cm="1">
        <f t="array" ref="B298">_xlfn.IFS(AND(LEN('Special Help Table'!$A298)-(LEN(SUBSTITUTE('Special Help Table'!$A298,";","")))=0,LEN('Special Help Table'!$A298)-LEN(SUBSTITUTE('Special Help Table'!$A298,",",""))=1,LEN('Special Help Table'!$A298)-LEN(SUBSTITUTE('Special Help Table'!$A298,"and ",""))=0),MID('Special Help Table'!$A298&amp;" "&amp;'Special Help Table'!$A298,SEARCH(", ",'Special Help Table'!$A298)+1,LEN('Special Help Table'!$A298)),AND(LEN('Special Help Table'!$A298)-(LEN(SUBSTITUTE('Special Help Table'!$A298,";","")))=1,LEN('Special Help Table'!$A298)-LEN(SUBSTITUTE('Special Help Table'!$A298,"and ",""))=0),MID('Special Help Table'!$A298,SEARCH(",",'Special Help Table'!$A298)+1,(SEARCH(";",'Special Help Table'!$A298)-1)-SEARCH(",",'Special Help Table'!$A298))&amp;" "&amp;LEFT('Special Help Table'!$A298,SEARCH(",",'Special Help Table'!$A298)-1)&amp;";"&amp;RIGHT('Special Help Table'!$A298,LEN('Special Help Table'!$A298)-SEARCH(",",'Special Help Table'!$A298,SEARCH(";",'Special Help Table'!$A298)))&amp;" "&amp;MID('Special Help Table'!$A298,SEARCH("; ",'Special Help Table'!$A298)+2,SEARCH(",",'Special Help Table'!$A298,SEARCH(";",'Special Help Table'!$A298))-SEARCH(";",'Special Help Table'!$A298)-2),AND(LEN('Special Help Table'!$A298)-LEN(SUBSTITUTE('Special Help Table'!$A298,"and ",""))=0,LEN('Special Help Table'!$A298)-LEN(SUBSTITUTE('Special Help Table'!$A298,";",""))=0),'Special Help Table'!$A298,AND(LEN('Special Help Table'!$A298)-LEN(SUBSTITUTE('Special Help Table'!$A298,",","")=1),LEN('Special Help Table'!$A298)-LEN(SUBSTITUTE('Special Help Table'!$A298," ","")=20),LEN('Special Help Table'!$A298)-LEN(SUBSTITUTE('Special Help Table'!$A298," and",""))=0,LEN('Special Help Table'!$A298)-LEN(SUBSTITUTE('Special Help Table'!$A298,",","",FIND(" ",'Special Help Table'!$A298)+1))=0),RIGHT('Special Help Table'!$A298,LEN('Special Help Table'!$A298)-FIND(", ",'Special Help Table'!$A298))&amp;" "&amp;LEFT('Special Help Table'!$A298,FIND(",",'Special Help Table'!$A298)-1),AND(LEN('Special Help Table'!$A298)-LEN(SUBSTITUTE('Special Help Table'!$A298,"editor",""))=6,LEN('Special Help Table'!$A298)-LEN(SUBSTITUTE('Special Help Table'!$A298,"(",""))=0,LEN('Special Help Table'!$A298)-LEN(SUBSTITUTE('Special Help Table'!$A298,"and",""))=3,LEN('Special Help Table'!$A298)-LEN(SUBSTITUTE('Special Help Table'!$A298,",",""))=1,LEN('Special Help Table'!$A298)-LEN(SUBSTITUTE('Special Help Table'!$A298," ",""))=3),'Special Help Table'!$A298)</f>
        <v xml:space="preserve"> James M. Jr Hamilton</v>
      </c>
      <c r="C298" s="4" t="s">
        <v>606</v>
      </c>
      <c r="D298" s="2"/>
      <c r="E298" s="2" t="s">
        <v>16</v>
      </c>
      <c r="F298" s="2" t="s">
        <v>28</v>
      </c>
      <c r="G298" s="2" t="s">
        <v>126</v>
      </c>
      <c r="H298" s="2"/>
      <c r="I298" s="2"/>
      <c r="J298" s="2"/>
      <c r="K298" s="3">
        <v>42200</v>
      </c>
      <c r="L298" s="2"/>
      <c r="M298" s="2"/>
      <c r="N298" s="2" t="s">
        <v>18</v>
      </c>
    </row>
    <row r="299" spans="1:14" ht="15.75" customHeight="1" x14ac:dyDescent="0.35">
      <c r="A299" s="2" t="s">
        <v>604</v>
      </c>
      <c r="B299" s="2" t="str" cm="1">
        <f t="array" ref="B299">_xlfn.IFS(AND(LEN('Special Help Table'!$A299)-(LEN(SUBSTITUTE('Special Help Table'!$A299,";","")))=0,LEN('Special Help Table'!$A299)-LEN(SUBSTITUTE('Special Help Table'!$A299,",",""))=1,LEN('Special Help Table'!$A299)-LEN(SUBSTITUTE('Special Help Table'!$A299,"and ",""))=0),MID('Special Help Table'!$A299&amp;" "&amp;'Special Help Table'!$A299,SEARCH(", ",'Special Help Table'!$A299)+1,LEN('Special Help Table'!$A299)),AND(LEN('Special Help Table'!$A299)-(LEN(SUBSTITUTE('Special Help Table'!$A299,";","")))=1,LEN('Special Help Table'!$A299)-LEN(SUBSTITUTE('Special Help Table'!$A299,"and ",""))=0),MID('Special Help Table'!$A299,SEARCH(",",'Special Help Table'!$A299)+1,(SEARCH(";",'Special Help Table'!$A299)-1)-SEARCH(",",'Special Help Table'!$A299))&amp;" "&amp;LEFT('Special Help Table'!$A299,SEARCH(",",'Special Help Table'!$A299)-1)&amp;";"&amp;RIGHT('Special Help Table'!$A299,LEN('Special Help Table'!$A299)-SEARCH(",",'Special Help Table'!$A299,SEARCH(";",'Special Help Table'!$A299)))&amp;" "&amp;MID('Special Help Table'!$A299,SEARCH("; ",'Special Help Table'!$A299)+2,SEARCH(",",'Special Help Table'!$A299,SEARCH(";",'Special Help Table'!$A299))-SEARCH(";",'Special Help Table'!$A299)-2),AND(LEN('Special Help Table'!$A299)-LEN(SUBSTITUTE('Special Help Table'!$A299,"and ",""))=0,LEN('Special Help Table'!$A299)-LEN(SUBSTITUTE('Special Help Table'!$A299,";",""))=0),'Special Help Table'!$A299,AND(LEN('Special Help Table'!$A299)-LEN(SUBSTITUTE('Special Help Table'!$A299,",","")=1),LEN('Special Help Table'!$A299)-LEN(SUBSTITUTE('Special Help Table'!$A299," ","")=20),LEN('Special Help Table'!$A299)-LEN(SUBSTITUTE('Special Help Table'!$A299," and",""))=0,LEN('Special Help Table'!$A299)-LEN(SUBSTITUTE('Special Help Table'!$A299,",","",FIND(" ",'Special Help Table'!$A299)+1))=0),RIGHT('Special Help Table'!$A299,LEN('Special Help Table'!$A299)-FIND(", ",'Special Help Table'!$A299))&amp;" "&amp;LEFT('Special Help Table'!$A299,FIND(",",'Special Help Table'!$A299)-1),AND(LEN('Special Help Table'!$A299)-LEN(SUBSTITUTE('Special Help Table'!$A299,"editor",""))=6,LEN('Special Help Table'!$A299)-LEN(SUBSTITUTE('Special Help Table'!$A299,"(",""))=0,LEN('Special Help Table'!$A299)-LEN(SUBSTITUTE('Special Help Table'!$A299,"and",""))=3,LEN('Special Help Table'!$A299)-LEN(SUBSTITUTE('Special Help Table'!$A299,",",""))=1,LEN('Special Help Table'!$A299)-LEN(SUBSTITUTE('Special Help Table'!$A299," ",""))=3),'Special Help Table'!$A299)</f>
        <v xml:space="preserve"> James M. Jr Hamilton</v>
      </c>
      <c r="C299" s="4" t="s">
        <v>607</v>
      </c>
      <c r="D299" s="2"/>
      <c r="E299" s="2" t="s">
        <v>16</v>
      </c>
      <c r="F299" s="2" t="s">
        <v>28</v>
      </c>
      <c r="G299" s="2"/>
      <c r="H299" s="2"/>
      <c r="I299" s="2"/>
      <c r="J299" s="2"/>
      <c r="K299" s="3">
        <v>42200</v>
      </c>
      <c r="L299" s="2"/>
      <c r="M299" s="2"/>
      <c r="N299" s="2" t="s">
        <v>18</v>
      </c>
    </row>
    <row r="300" spans="1:14" ht="15.75" customHeight="1" x14ac:dyDescent="0.35">
      <c r="A300" s="2" t="s">
        <v>604</v>
      </c>
      <c r="B300" s="2" t="str" cm="1">
        <f t="array" ref="B300">_xlfn.IFS(AND(LEN('Special Help Table'!$A300)-(LEN(SUBSTITUTE('Special Help Table'!$A300,";","")))=0,LEN('Special Help Table'!$A300)-LEN(SUBSTITUTE('Special Help Table'!$A300,",",""))=1,LEN('Special Help Table'!$A300)-LEN(SUBSTITUTE('Special Help Table'!$A300,"and ",""))=0),MID('Special Help Table'!$A300&amp;" "&amp;'Special Help Table'!$A300,SEARCH(", ",'Special Help Table'!$A300)+1,LEN('Special Help Table'!$A300)),AND(LEN('Special Help Table'!$A300)-(LEN(SUBSTITUTE('Special Help Table'!$A300,";","")))=1,LEN('Special Help Table'!$A300)-LEN(SUBSTITUTE('Special Help Table'!$A300,"and ",""))=0),MID('Special Help Table'!$A300,SEARCH(",",'Special Help Table'!$A300)+1,(SEARCH(";",'Special Help Table'!$A300)-1)-SEARCH(",",'Special Help Table'!$A300))&amp;" "&amp;LEFT('Special Help Table'!$A300,SEARCH(",",'Special Help Table'!$A300)-1)&amp;";"&amp;RIGHT('Special Help Table'!$A300,LEN('Special Help Table'!$A300)-SEARCH(",",'Special Help Table'!$A300,SEARCH(";",'Special Help Table'!$A300)))&amp;" "&amp;MID('Special Help Table'!$A300,SEARCH("; ",'Special Help Table'!$A300)+2,SEARCH(",",'Special Help Table'!$A300,SEARCH(";",'Special Help Table'!$A300))-SEARCH(";",'Special Help Table'!$A300)-2),AND(LEN('Special Help Table'!$A300)-LEN(SUBSTITUTE('Special Help Table'!$A300,"and ",""))=0,LEN('Special Help Table'!$A300)-LEN(SUBSTITUTE('Special Help Table'!$A300,";",""))=0),'Special Help Table'!$A300,AND(LEN('Special Help Table'!$A300)-LEN(SUBSTITUTE('Special Help Table'!$A300,",","")=1),LEN('Special Help Table'!$A300)-LEN(SUBSTITUTE('Special Help Table'!$A300," ","")=20),LEN('Special Help Table'!$A300)-LEN(SUBSTITUTE('Special Help Table'!$A300," and",""))=0,LEN('Special Help Table'!$A300)-LEN(SUBSTITUTE('Special Help Table'!$A300,",","",FIND(" ",'Special Help Table'!$A300)+1))=0),RIGHT('Special Help Table'!$A300,LEN('Special Help Table'!$A300)-FIND(", ",'Special Help Table'!$A300))&amp;" "&amp;LEFT('Special Help Table'!$A300,FIND(",",'Special Help Table'!$A300)-1),AND(LEN('Special Help Table'!$A300)-LEN(SUBSTITUTE('Special Help Table'!$A300,"editor",""))=6,LEN('Special Help Table'!$A300)-LEN(SUBSTITUTE('Special Help Table'!$A300,"(",""))=0,LEN('Special Help Table'!$A300)-LEN(SUBSTITUTE('Special Help Table'!$A300,"and",""))=3,LEN('Special Help Table'!$A300)-LEN(SUBSTITUTE('Special Help Table'!$A300,",",""))=1,LEN('Special Help Table'!$A300)-LEN(SUBSTITUTE('Special Help Table'!$A300," ",""))=3),'Special Help Table'!$A300)</f>
        <v xml:space="preserve"> James M. Jr Hamilton</v>
      </c>
      <c r="C300" s="4" t="s">
        <v>608</v>
      </c>
      <c r="D300" s="2"/>
      <c r="E300" s="2" t="s">
        <v>16</v>
      </c>
      <c r="F300" s="2" t="s">
        <v>28</v>
      </c>
      <c r="G300" s="2"/>
      <c r="H300" s="2"/>
      <c r="I300" s="2"/>
      <c r="J300" s="2" t="s">
        <v>310</v>
      </c>
      <c r="K300" s="3"/>
      <c r="L300" s="2"/>
      <c r="M300" s="2"/>
      <c r="N300" s="2" t="s">
        <v>18</v>
      </c>
    </row>
    <row r="301" spans="1:14" ht="15.75" customHeight="1" x14ac:dyDescent="0.35">
      <c r="A301" s="2" t="s">
        <v>609</v>
      </c>
      <c r="B301" s="2" t="str" cm="1">
        <f t="array" ref="B301">_xlfn.IFS(AND(LEN('Special Help Table'!$A301)-(LEN(SUBSTITUTE('Special Help Table'!$A301,";","")))=0,LEN('Special Help Table'!$A301)-LEN(SUBSTITUTE('Special Help Table'!$A301,",",""))=1,LEN('Special Help Table'!$A301)-LEN(SUBSTITUTE('Special Help Table'!$A301,"and ",""))=0),MID('Special Help Table'!$A301&amp;" "&amp;'Special Help Table'!$A301,SEARCH(", ",'Special Help Table'!$A301)+1,LEN('Special Help Table'!$A301)),AND(LEN('Special Help Table'!$A301)-(LEN(SUBSTITUTE('Special Help Table'!$A301,";","")))=1,LEN('Special Help Table'!$A301)-LEN(SUBSTITUTE('Special Help Table'!$A301,"and ",""))=0),MID('Special Help Table'!$A301,SEARCH(",",'Special Help Table'!$A301)+1,(SEARCH(";",'Special Help Table'!$A301)-1)-SEARCH(",",'Special Help Table'!$A301))&amp;" "&amp;LEFT('Special Help Table'!$A301,SEARCH(",",'Special Help Table'!$A301)-1)&amp;";"&amp;RIGHT('Special Help Table'!$A301,LEN('Special Help Table'!$A301)-SEARCH(",",'Special Help Table'!$A301,SEARCH(";",'Special Help Table'!$A301)))&amp;" "&amp;MID('Special Help Table'!$A301,SEARCH("; ",'Special Help Table'!$A301)+2,SEARCH(",",'Special Help Table'!$A301,SEARCH(";",'Special Help Table'!$A301))-SEARCH(";",'Special Help Table'!$A301)-2),AND(LEN('Special Help Table'!$A301)-LEN(SUBSTITUTE('Special Help Table'!$A301,"and ",""))=0,LEN('Special Help Table'!$A301)-LEN(SUBSTITUTE('Special Help Table'!$A301,";",""))=0),'Special Help Table'!$A301,AND(LEN('Special Help Table'!$A301)-LEN(SUBSTITUTE('Special Help Table'!$A301,",","")=1),LEN('Special Help Table'!$A301)-LEN(SUBSTITUTE('Special Help Table'!$A301," ","")=20),LEN('Special Help Table'!$A301)-LEN(SUBSTITUTE('Special Help Table'!$A301," and",""))=0,LEN('Special Help Table'!$A301)-LEN(SUBSTITUTE('Special Help Table'!$A301,",","",FIND(" ",'Special Help Table'!$A301)+1))=0),RIGHT('Special Help Table'!$A301,LEN('Special Help Table'!$A301)-FIND(", ",'Special Help Table'!$A301))&amp;" "&amp;LEFT('Special Help Table'!$A301,FIND(",",'Special Help Table'!$A301)-1),AND(LEN('Special Help Table'!$A301)-LEN(SUBSTITUTE('Special Help Table'!$A301,"editor",""))=6,LEN('Special Help Table'!$A301)-LEN(SUBSTITUTE('Special Help Table'!$A301,"(",""))=0,LEN('Special Help Table'!$A301)-LEN(SUBSTITUTE('Special Help Table'!$A301,"and",""))=3,LEN('Special Help Table'!$A301)-LEN(SUBSTITUTE('Special Help Table'!$A301,",",""))=1,LEN('Special Help Table'!$A301)-LEN(SUBSTITUTE('Special Help Table'!$A301," ",""))=3),'Special Help Table'!$A301)</f>
        <v xml:space="preserve"> Rebecca Hammond</v>
      </c>
      <c r="C301" s="4" t="s">
        <v>610</v>
      </c>
      <c r="D301" s="2"/>
      <c r="E301" s="2" t="s">
        <v>16</v>
      </c>
      <c r="F301" s="2" t="s">
        <v>39</v>
      </c>
      <c r="G301" s="2"/>
      <c r="H301" s="2"/>
      <c r="I301" s="2"/>
      <c r="J301" s="2"/>
      <c r="K301" s="3">
        <v>40034</v>
      </c>
      <c r="L301" s="2"/>
      <c r="M301" s="2"/>
      <c r="N301" s="2" t="s">
        <v>18</v>
      </c>
    </row>
    <row r="302" spans="1:14" ht="15.75" customHeight="1" x14ac:dyDescent="0.35">
      <c r="A302" s="2" t="s">
        <v>609</v>
      </c>
      <c r="B302" s="2" t="str" cm="1">
        <f t="array" ref="B302">_xlfn.IFS(AND(LEN('Special Help Table'!$A302)-(LEN(SUBSTITUTE('Special Help Table'!$A302,";","")))=0,LEN('Special Help Table'!$A302)-LEN(SUBSTITUTE('Special Help Table'!$A302,",",""))=1,LEN('Special Help Table'!$A302)-LEN(SUBSTITUTE('Special Help Table'!$A302,"and ",""))=0),MID('Special Help Table'!$A302&amp;" "&amp;'Special Help Table'!$A302,SEARCH(", ",'Special Help Table'!$A302)+1,LEN('Special Help Table'!$A302)),AND(LEN('Special Help Table'!$A302)-(LEN(SUBSTITUTE('Special Help Table'!$A302,";","")))=1,LEN('Special Help Table'!$A302)-LEN(SUBSTITUTE('Special Help Table'!$A302,"and ",""))=0),MID('Special Help Table'!$A302,SEARCH(",",'Special Help Table'!$A302)+1,(SEARCH(";",'Special Help Table'!$A302)-1)-SEARCH(",",'Special Help Table'!$A302))&amp;" "&amp;LEFT('Special Help Table'!$A302,SEARCH(",",'Special Help Table'!$A302)-1)&amp;";"&amp;RIGHT('Special Help Table'!$A302,LEN('Special Help Table'!$A302)-SEARCH(",",'Special Help Table'!$A302,SEARCH(";",'Special Help Table'!$A302)))&amp;" "&amp;MID('Special Help Table'!$A302,SEARCH("; ",'Special Help Table'!$A302)+2,SEARCH(",",'Special Help Table'!$A302,SEARCH(";",'Special Help Table'!$A302))-SEARCH(";",'Special Help Table'!$A302)-2),AND(LEN('Special Help Table'!$A302)-LEN(SUBSTITUTE('Special Help Table'!$A302,"and ",""))=0,LEN('Special Help Table'!$A302)-LEN(SUBSTITUTE('Special Help Table'!$A302,";",""))=0),'Special Help Table'!$A302,AND(LEN('Special Help Table'!$A302)-LEN(SUBSTITUTE('Special Help Table'!$A302,",","")=1),LEN('Special Help Table'!$A302)-LEN(SUBSTITUTE('Special Help Table'!$A302," ","")=20),LEN('Special Help Table'!$A302)-LEN(SUBSTITUTE('Special Help Table'!$A302," and",""))=0,LEN('Special Help Table'!$A302)-LEN(SUBSTITUTE('Special Help Table'!$A302,",","",FIND(" ",'Special Help Table'!$A302)+1))=0),RIGHT('Special Help Table'!$A302,LEN('Special Help Table'!$A302)-FIND(", ",'Special Help Table'!$A302))&amp;" "&amp;LEFT('Special Help Table'!$A302,FIND(",",'Special Help Table'!$A302)-1),AND(LEN('Special Help Table'!$A302)-LEN(SUBSTITUTE('Special Help Table'!$A302,"editor",""))=6,LEN('Special Help Table'!$A302)-LEN(SUBSTITUTE('Special Help Table'!$A302,"(",""))=0,LEN('Special Help Table'!$A302)-LEN(SUBSTITUTE('Special Help Table'!$A302,"and",""))=3,LEN('Special Help Table'!$A302)-LEN(SUBSTITUTE('Special Help Table'!$A302,",",""))=1,LEN('Special Help Table'!$A302)-LEN(SUBSTITUTE('Special Help Table'!$A302," ",""))=3),'Special Help Table'!$A302)</f>
        <v xml:space="preserve"> Rebecca Hammond</v>
      </c>
      <c r="C302" s="4" t="s">
        <v>611</v>
      </c>
      <c r="D302" s="2"/>
      <c r="E302" s="2" t="s">
        <v>16</v>
      </c>
      <c r="F302" s="2" t="s">
        <v>39</v>
      </c>
      <c r="G302" s="2"/>
      <c r="H302" s="2"/>
      <c r="I302" s="2"/>
      <c r="J302" s="2" t="s">
        <v>59</v>
      </c>
      <c r="K302" s="3">
        <v>40034</v>
      </c>
      <c r="L302" s="2"/>
      <c r="M302" s="2"/>
      <c r="N302" s="2" t="s">
        <v>18</v>
      </c>
    </row>
    <row r="303" spans="1:14" ht="15.75" customHeight="1" x14ac:dyDescent="0.35">
      <c r="A303" s="2" t="s">
        <v>609</v>
      </c>
      <c r="B303" s="2" t="str" cm="1">
        <f t="array" ref="B303">_xlfn.IFS(AND(LEN('Special Help Table'!$A303)-(LEN(SUBSTITUTE('Special Help Table'!$A303,";","")))=0,LEN('Special Help Table'!$A303)-LEN(SUBSTITUTE('Special Help Table'!$A303,",",""))=1,LEN('Special Help Table'!$A303)-LEN(SUBSTITUTE('Special Help Table'!$A303,"and ",""))=0),MID('Special Help Table'!$A303&amp;" "&amp;'Special Help Table'!$A303,SEARCH(", ",'Special Help Table'!$A303)+1,LEN('Special Help Table'!$A303)),AND(LEN('Special Help Table'!$A303)-(LEN(SUBSTITUTE('Special Help Table'!$A303,";","")))=1,LEN('Special Help Table'!$A303)-LEN(SUBSTITUTE('Special Help Table'!$A303,"and ",""))=0),MID('Special Help Table'!$A303,SEARCH(",",'Special Help Table'!$A303)+1,(SEARCH(";",'Special Help Table'!$A303)-1)-SEARCH(",",'Special Help Table'!$A303))&amp;" "&amp;LEFT('Special Help Table'!$A303,SEARCH(",",'Special Help Table'!$A303)-1)&amp;";"&amp;RIGHT('Special Help Table'!$A303,LEN('Special Help Table'!$A303)-SEARCH(",",'Special Help Table'!$A303,SEARCH(";",'Special Help Table'!$A303)))&amp;" "&amp;MID('Special Help Table'!$A303,SEARCH("; ",'Special Help Table'!$A303)+2,SEARCH(",",'Special Help Table'!$A303,SEARCH(";",'Special Help Table'!$A303))-SEARCH(";",'Special Help Table'!$A303)-2),AND(LEN('Special Help Table'!$A303)-LEN(SUBSTITUTE('Special Help Table'!$A303,"and ",""))=0,LEN('Special Help Table'!$A303)-LEN(SUBSTITUTE('Special Help Table'!$A303,";",""))=0),'Special Help Table'!$A303,AND(LEN('Special Help Table'!$A303)-LEN(SUBSTITUTE('Special Help Table'!$A303,",","")=1),LEN('Special Help Table'!$A303)-LEN(SUBSTITUTE('Special Help Table'!$A303," ","")=20),LEN('Special Help Table'!$A303)-LEN(SUBSTITUTE('Special Help Table'!$A303," and",""))=0,LEN('Special Help Table'!$A303)-LEN(SUBSTITUTE('Special Help Table'!$A303,",","",FIND(" ",'Special Help Table'!$A303)+1))=0),RIGHT('Special Help Table'!$A303,LEN('Special Help Table'!$A303)-FIND(", ",'Special Help Table'!$A303))&amp;" "&amp;LEFT('Special Help Table'!$A303,FIND(",",'Special Help Table'!$A303)-1),AND(LEN('Special Help Table'!$A303)-LEN(SUBSTITUTE('Special Help Table'!$A303,"editor",""))=6,LEN('Special Help Table'!$A303)-LEN(SUBSTITUTE('Special Help Table'!$A303,"(",""))=0,LEN('Special Help Table'!$A303)-LEN(SUBSTITUTE('Special Help Table'!$A303,"and",""))=3,LEN('Special Help Table'!$A303)-LEN(SUBSTITUTE('Special Help Table'!$A303,",",""))=1,LEN('Special Help Table'!$A303)-LEN(SUBSTITUTE('Special Help Table'!$A303," ",""))=3),'Special Help Table'!$A303)</f>
        <v xml:space="preserve"> Rebecca Hammond</v>
      </c>
      <c r="C303" s="4" t="s">
        <v>612</v>
      </c>
      <c r="D303" s="2"/>
      <c r="E303" s="2" t="s">
        <v>16</v>
      </c>
      <c r="F303" s="2" t="s">
        <v>39</v>
      </c>
      <c r="G303" s="2"/>
      <c r="H303" s="2"/>
      <c r="I303" s="2"/>
      <c r="J303" s="2" t="s">
        <v>59</v>
      </c>
      <c r="K303" s="3">
        <v>40034</v>
      </c>
      <c r="L303" s="2"/>
      <c r="M303" s="2"/>
      <c r="N303" s="2" t="s">
        <v>18</v>
      </c>
    </row>
    <row r="304" spans="1:14" ht="15.75" customHeight="1" x14ac:dyDescent="0.35">
      <c r="A304" s="2" t="s">
        <v>613</v>
      </c>
      <c r="B304" s="2" t="str" cm="1">
        <f t="array" ref="B304">_xlfn.IFS(AND(LEN('Special Help Table'!$A304)-(LEN(SUBSTITUTE('Special Help Table'!$A304,";","")))=0,LEN('Special Help Table'!$A304)-LEN(SUBSTITUTE('Special Help Table'!$A304,",",""))=1,LEN('Special Help Table'!$A304)-LEN(SUBSTITUTE('Special Help Table'!$A304,"and ",""))=0),MID('Special Help Table'!$A304&amp;" "&amp;'Special Help Table'!$A304,SEARCH(", ",'Special Help Table'!$A304)+1,LEN('Special Help Table'!$A304)),AND(LEN('Special Help Table'!$A304)-(LEN(SUBSTITUTE('Special Help Table'!$A304,";","")))=1,LEN('Special Help Table'!$A304)-LEN(SUBSTITUTE('Special Help Table'!$A304,"and ",""))=0),MID('Special Help Table'!$A304,SEARCH(",",'Special Help Table'!$A304)+1,(SEARCH(";",'Special Help Table'!$A304)-1)-SEARCH(",",'Special Help Table'!$A304))&amp;" "&amp;LEFT('Special Help Table'!$A304,SEARCH(",",'Special Help Table'!$A304)-1)&amp;";"&amp;RIGHT('Special Help Table'!$A304,LEN('Special Help Table'!$A304)-SEARCH(",",'Special Help Table'!$A304,SEARCH(";",'Special Help Table'!$A304)))&amp;" "&amp;MID('Special Help Table'!$A304,SEARCH("; ",'Special Help Table'!$A304)+2,SEARCH(",",'Special Help Table'!$A304,SEARCH(";",'Special Help Table'!$A304))-SEARCH(";",'Special Help Table'!$A304)-2),AND(LEN('Special Help Table'!$A304)-LEN(SUBSTITUTE('Special Help Table'!$A304,"and ",""))=0,LEN('Special Help Table'!$A304)-LEN(SUBSTITUTE('Special Help Table'!$A304,";",""))=0),'Special Help Table'!$A304,AND(LEN('Special Help Table'!$A304)-LEN(SUBSTITUTE('Special Help Table'!$A304,",","")=1),LEN('Special Help Table'!$A304)-LEN(SUBSTITUTE('Special Help Table'!$A304," ","")=20),LEN('Special Help Table'!$A304)-LEN(SUBSTITUTE('Special Help Table'!$A304," and",""))=0,LEN('Special Help Table'!$A304)-LEN(SUBSTITUTE('Special Help Table'!$A304,",","",FIND(" ",'Special Help Table'!$A304)+1))=0),RIGHT('Special Help Table'!$A304,LEN('Special Help Table'!$A304)-FIND(", ",'Special Help Table'!$A304))&amp;" "&amp;LEFT('Special Help Table'!$A304,FIND(",",'Special Help Table'!$A304)-1),AND(LEN('Special Help Table'!$A304)-LEN(SUBSTITUTE('Special Help Table'!$A304,"editor",""))=6,LEN('Special Help Table'!$A304)-LEN(SUBSTITUTE('Special Help Table'!$A304,"(",""))=0,LEN('Special Help Table'!$A304)-LEN(SUBSTITUTE('Special Help Table'!$A304,"and",""))=3,LEN('Special Help Table'!$A304)-LEN(SUBSTITUTE('Special Help Table'!$A304,",",""))=1,LEN('Special Help Table'!$A304)-LEN(SUBSTITUTE('Special Help Table'!$A304," ",""))=3),'Special Help Table'!$A304)</f>
        <v xml:space="preserve"> Allan M. Harman</v>
      </c>
      <c r="C304" s="4" t="s">
        <v>614</v>
      </c>
      <c r="D304" s="2" t="s">
        <v>160</v>
      </c>
      <c r="E304" s="2" t="s">
        <v>16</v>
      </c>
      <c r="F304" s="2" t="s">
        <v>39</v>
      </c>
      <c r="G304" s="2"/>
      <c r="H304" s="2"/>
      <c r="I304" s="2"/>
      <c r="J304" s="2"/>
      <c r="K304" s="3">
        <v>43704</v>
      </c>
      <c r="L304" s="2"/>
      <c r="M304" s="2"/>
      <c r="N304" s="2" t="s">
        <v>18</v>
      </c>
    </row>
    <row r="305" spans="1:14" ht="15.75" customHeight="1" x14ac:dyDescent="0.35">
      <c r="A305" s="2" t="s">
        <v>615</v>
      </c>
      <c r="B305" s="2" t="str" cm="1">
        <f t="array" ref="B305">_xlfn.IFS(AND(LEN('Special Help Table'!$A305)-(LEN(SUBSTITUTE('Special Help Table'!$A305,";","")))=0,LEN('Special Help Table'!$A305)-LEN(SUBSTITUTE('Special Help Table'!$A305,",",""))=1,LEN('Special Help Table'!$A305)-LEN(SUBSTITUTE('Special Help Table'!$A305,"and ",""))=0),MID('Special Help Table'!$A305&amp;" "&amp;'Special Help Table'!$A305,SEARCH(", ",'Special Help Table'!$A305)+1,LEN('Special Help Table'!$A305)),AND(LEN('Special Help Table'!$A305)-(LEN(SUBSTITUTE('Special Help Table'!$A305,";","")))=1,LEN('Special Help Table'!$A305)-LEN(SUBSTITUTE('Special Help Table'!$A305,"and ",""))=0),MID('Special Help Table'!$A305,SEARCH(",",'Special Help Table'!$A305)+1,(SEARCH(";",'Special Help Table'!$A305)-1)-SEARCH(",",'Special Help Table'!$A305))&amp;" "&amp;LEFT('Special Help Table'!$A305,SEARCH(",",'Special Help Table'!$A305)-1)&amp;";"&amp;RIGHT('Special Help Table'!$A305,LEN('Special Help Table'!$A305)-SEARCH(",",'Special Help Table'!$A305,SEARCH(";",'Special Help Table'!$A305)))&amp;" "&amp;MID('Special Help Table'!$A305,SEARCH("; ",'Special Help Table'!$A305)+2,SEARCH(",",'Special Help Table'!$A305,SEARCH(";",'Special Help Table'!$A305))-SEARCH(";",'Special Help Table'!$A305)-2),AND(LEN('Special Help Table'!$A305)-LEN(SUBSTITUTE('Special Help Table'!$A305,"and ",""))=0,LEN('Special Help Table'!$A305)-LEN(SUBSTITUTE('Special Help Table'!$A305,";",""))=0),'Special Help Table'!$A305,AND(LEN('Special Help Table'!$A305)-LEN(SUBSTITUTE('Special Help Table'!$A305,",","")=1),LEN('Special Help Table'!$A305)-LEN(SUBSTITUTE('Special Help Table'!$A305," ","")=20),LEN('Special Help Table'!$A305)-LEN(SUBSTITUTE('Special Help Table'!$A305," and",""))=0,LEN('Special Help Table'!$A305)-LEN(SUBSTITUTE('Special Help Table'!$A305,",","",FIND(" ",'Special Help Table'!$A305)+1))=0),RIGHT('Special Help Table'!$A305,LEN('Special Help Table'!$A305)-FIND(", ",'Special Help Table'!$A305))&amp;" "&amp;LEFT('Special Help Table'!$A305,FIND(",",'Special Help Table'!$A305)-1),AND(LEN('Special Help Table'!$A305)-LEN(SUBSTITUTE('Special Help Table'!$A305,"editor",""))=6,LEN('Special Help Table'!$A305)-LEN(SUBSTITUTE('Special Help Table'!$A305,"(",""))=0,LEN('Special Help Table'!$A305)-LEN(SUBSTITUTE('Special Help Table'!$A305,"and",""))=3,LEN('Special Help Table'!$A305)-LEN(SUBSTITUTE('Special Help Table'!$A305,",",""))=1,LEN('Special Help Table'!$A305)-LEN(SUBSTITUTE('Special Help Table'!$A305," ",""))=3),'Special Help Table'!$A305)</f>
        <v xml:space="preserve"> Matthew Harmon</v>
      </c>
      <c r="C305" s="4" t="s">
        <v>616</v>
      </c>
      <c r="D305" s="2"/>
      <c r="E305" s="2" t="s">
        <v>16</v>
      </c>
      <c r="F305" s="2" t="s">
        <v>76</v>
      </c>
      <c r="G305" s="2"/>
      <c r="H305" s="2"/>
      <c r="I305" s="2"/>
      <c r="J305" s="2"/>
      <c r="K305" s="3">
        <v>43704</v>
      </c>
      <c r="L305" s="2"/>
      <c r="M305" s="2"/>
      <c r="N305" s="2" t="s">
        <v>18</v>
      </c>
    </row>
    <row r="306" spans="1:14" ht="15.75" customHeight="1" x14ac:dyDescent="0.35">
      <c r="A306" s="2" t="s">
        <v>617</v>
      </c>
      <c r="B306" s="2" t="str" cm="1">
        <f t="array" ref="B306">_xlfn.IFS(AND(LEN('Special Help Table'!$A306)-(LEN(SUBSTITUTE('Special Help Table'!$A306,";","")))=0,LEN('Special Help Table'!$A306)-LEN(SUBSTITUTE('Special Help Table'!$A306,",",""))=1,LEN('Special Help Table'!$A306)-LEN(SUBSTITUTE('Special Help Table'!$A306,"and ",""))=0),MID('Special Help Table'!$A306&amp;" "&amp;'Special Help Table'!$A306,SEARCH(", ",'Special Help Table'!$A306)+1,LEN('Special Help Table'!$A306)),AND(LEN('Special Help Table'!$A306)-(LEN(SUBSTITUTE('Special Help Table'!$A306,";","")))=1,LEN('Special Help Table'!$A306)-LEN(SUBSTITUTE('Special Help Table'!$A306,"and ",""))=0),MID('Special Help Table'!$A306,SEARCH(",",'Special Help Table'!$A306)+1,(SEARCH(";",'Special Help Table'!$A306)-1)-SEARCH(",",'Special Help Table'!$A306))&amp;" "&amp;LEFT('Special Help Table'!$A306,SEARCH(",",'Special Help Table'!$A306)-1)&amp;";"&amp;RIGHT('Special Help Table'!$A306,LEN('Special Help Table'!$A306)-SEARCH(",",'Special Help Table'!$A306,SEARCH(";",'Special Help Table'!$A306)))&amp;" "&amp;MID('Special Help Table'!$A306,SEARCH("; ",'Special Help Table'!$A306)+2,SEARCH(",",'Special Help Table'!$A306,SEARCH(";",'Special Help Table'!$A306))-SEARCH(";",'Special Help Table'!$A306)-2),AND(LEN('Special Help Table'!$A306)-LEN(SUBSTITUTE('Special Help Table'!$A306,"and ",""))=0,LEN('Special Help Table'!$A306)-LEN(SUBSTITUTE('Special Help Table'!$A306,";",""))=0),'Special Help Table'!$A306,AND(LEN('Special Help Table'!$A306)-LEN(SUBSTITUTE('Special Help Table'!$A306,",","")=1),LEN('Special Help Table'!$A306)-LEN(SUBSTITUTE('Special Help Table'!$A306," ","")=20),LEN('Special Help Table'!$A306)-LEN(SUBSTITUTE('Special Help Table'!$A306," and",""))=0,LEN('Special Help Table'!$A306)-LEN(SUBSTITUTE('Special Help Table'!$A306,",","",FIND(" ",'Special Help Table'!$A306)+1))=0),RIGHT('Special Help Table'!$A306,LEN('Special Help Table'!$A306)-FIND(", ",'Special Help Table'!$A306))&amp;" "&amp;LEFT('Special Help Table'!$A306,FIND(",",'Special Help Table'!$A306)-1),AND(LEN('Special Help Table'!$A306)-LEN(SUBSTITUTE('Special Help Table'!$A306,"editor",""))=6,LEN('Special Help Table'!$A306)-LEN(SUBSTITUTE('Special Help Table'!$A306,"(",""))=0,LEN('Special Help Table'!$A306)-LEN(SUBSTITUTE('Special Help Table'!$A306,"and",""))=3,LEN('Special Help Table'!$A306)-LEN(SUBSTITUTE('Special Help Table'!$A306,",",""))=1,LEN('Special Help Table'!$A306)-LEN(SUBSTITUTE('Special Help Table'!$A306," ",""))=3),'Special Help Table'!$A306)</f>
        <v xml:space="preserve"> Joshua Harris</v>
      </c>
      <c r="C306" s="4" t="s">
        <v>618</v>
      </c>
      <c r="D306" s="2"/>
      <c r="E306" s="2" t="s">
        <v>16</v>
      </c>
      <c r="F306" s="2" t="s">
        <v>17</v>
      </c>
      <c r="G306" s="2"/>
      <c r="H306" s="2"/>
      <c r="I306" s="2"/>
      <c r="J306" s="2" t="s">
        <v>619</v>
      </c>
      <c r="K306" s="3">
        <v>40034</v>
      </c>
      <c r="L306" s="2"/>
      <c r="M306" s="2"/>
      <c r="N306" s="2" t="s">
        <v>18</v>
      </c>
    </row>
    <row r="307" spans="1:14" ht="15.75" customHeight="1" x14ac:dyDescent="0.35">
      <c r="A307" s="2" t="s">
        <v>620</v>
      </c>
      <c r="B307" s="2" t="str" cm="1">
        <f t="array" ref="B307">_xlfn.IFS(AND(LEN('Special Help Table'!$A307)-(LEN(SUBSTITUTE('Special Help Table'!$A307,";","")))=0,LEN('Special Help Table'!$A307)-LEN(SUBSTITUTE('Special Help Table'!$A307,",",""))=1,LEN('Special Help Table'!$A307)-LEN(SUBSTITUTE('Special Help Table'!$A307,"and ",""))=0),MID('Special Help Table'!$A307&amp;" "&amp;'Special Help Table'!$A307,SEARCH(", ",'Special Help Table'!$A307)+1,LEN('Special Help Table'!$A307)),AND(LEN('Special Help Table'!$A307)-(LEN(SUBSTITUTE('Special Help Table'!$A307,";","")))=1,LEN('Special Help Table'!$A307)-LEN(SUBSTITUTE('Special Help Table'!$A307,"and ",""))=0),MID('Special Help Table'!$A307,SEARCH(",",'Special Help Table'!$A307)+1,(SEARCH(";",'Special Help Table'!$A307)-1)-SEARCH(",",'Special Help Table'!$A307))&amp;" "&amp;LEFT('Special Help Table'!$A307,SEARCH(",",'Special Help Table'!$A307)-1)&amp;";"&amp;RIGHT('Special Help Table'!$A307,LEN('Special Help Table'!$A307)-SEARCH(",",'Special Help Table'!$A307,SEARCH(";",'Special Help Table'!$A307)))&amp;" "&amp;MID('Special Help Table'!$A307,SEARCH("; ",'Special Help Table'!$A307)+2,SEARCH(",",'Special Help Table'!$A307,SEARCH(";",'Special Help Table'!$A307))-SEARCH(";",'Special Help Table'!$A307)-2),AND(LEN('Special Help Table'!$A307)-LEN(SUBSTITUTE('Special Help Table'!$A307,"and ",""))=0,LEN('Special Help Table'!$A307)-LEN(SUBSTITUTE('Special Help Table'!$A307,";",""))=0),'Special Help Table'!$A307,AND(LEN('Special Help Table'!$A307)-LEN(SUBSTITUTE('Special Help Table'!$A307,",","")=1),LEN('Special Help Table'!$A307)-LEN(SUBSTITUTE('Special Help Table'!$A307," ","")=20),LEN('Special Help Table'!$A307)-LEN(SUBSTITUTE('Special Help Table'!$A307," and",""))=0,LEN('Special Help Table'!$A307)-LEN(SUBSTITUTE('Special Help Table'!$A307,",","",FIND(" ",'Special Help Table'!$A307)+1))=0),RIGHT('Special Help Table'!$A307,LEN('Special Help Table'!$A307)-FIND(", ",'Special Help Table'!$A307))&amp;" "&amp;LEFT('Special Help Table'!$A307,FIND(",",'Special Help Table'!$A307)-1),AND(LEN('Special Help Table'!$A307)-LEN(SUBSTITUTE('Special Help Table'!$A307,"editor",""))=6,LEN('Special Help Table'!$A307)-LEN(SUBSTITUTE('Special Help Table'!$A307,"(",""))=0,LEN('Special Help Table'!$A307)-LEN(SUBSTITUTE('Special Help Table'!$A307,"and",""))=3,LEN('Special Help Table'!$A307)-LEN(SUBSTITUTE('Special Help Table'!$A307,",",""))=1,LEN('Special Help Table'!$A307)-LEN(SUBSTITUTE('Special Help Table'!$A307," ",""))=3),'Special Help Table'!$A307)</f>
        <v xml:space="preserve"> Dave Harvey</v>
      </c>
      <c r="C307" s="4" t="s">
        <v>621</v>
      </c>
      <c r="D307" s="2"/>
      <c r="E307" s="2" t="s">
        <v>16</v>
      </c>
      <c r="F307" s="2" t="s">
        <v>36</v>
      </c>
      <c r="G307" s="2"/>
      <c r="H307" s="2" t="s">
        <v>622</v>
      </c>
      <c r="I307" s="2"/>
      <c r="J307" s="2"/>
      <c r="K307" s="3">
        <v>43872</v>
      </c>
      <c r="L307" s="2"/>
      <c r="M307" s="2"/>
      <c r="N307" s="2" t="s">
        <v>18</v>
      </c>
    </row>
    <row r="308" spans="1:14" ht="15.75" customHeight="1" x14ac:dyDescent="0.35">
      <c r="A308" s="2" t="s">
        <v>620</v>
      </c>
      <c r="B308" s="2" t="str" cm="1">
        <f t="array" ref="B308">_xlfn.IFS(AND(LEN('Special Help Table'!$A308)-(LEN(SUBSTITUTE('Special Help Table'!$A308,";","")))=0,LEN('Special Help Table'!$A308)-LEN(SUBSTITUTE('Special Help Table'!$A308,",",""))=1,LEN('Special Help Table'!$A308)-LEN(SUBSTITUTE('Special Help Table'!$A308,"and ",""))=0),MID('Special Help Table'!$A308&amp;" "&amp;'Special Help Table'!$A308,SEARCH(", ",'Special Help Table'!$A308)+1,LEN('Special Help Table'!$A308)),AND(LEN('Special Help Table'!$A308)-(LEN(SUBSTITUTE('Special Help Table'!$A308,";","")))=1,LEN('Special Help Table'!$A308)-LEN(SUBSTITUTE('Special Help Table'!$A308,"and ",""))=0),MID('Special Help Table'!$A308,SEARCH(",",'Special Help Table'!$A308)+1,(SEARCH(";",'Special Help Table'!$A308)-1)-SEARCH(",",'Special Help Table'!$A308))&amp;" "&amp;LEFT('Special Help Table'!$A308,SEARCH(",",'Special Help Table'!$A308)-1)&amp;";"&amp;RIGHT('Special Help Table'!$A308,LEN('Special Help Table'!$A308)-SEARCH(",",'Special Help Table'!$A308,SEARCH(";",'Special Help Table'!$A308)))&amp;" "&amp;MID('Special Help Table'!$A308,SEARCH("; ",'Special Help Table'!$A308)+2,SEARCH(",",'Special Help Table'!$A308,SEARCH(";",'Special Help Table'!$A308))-SEARCH(";",'Special Help Table'!$A308)-2),AND(LEN('Special Help Table'!$A308)-LEN(SUBSTITUTE('Special Help Table'!$A308,"and ",""))=0,LEN('Special Help Table'!$A308)-LEN(SUBSTITUTE('Special Help Table'!$A308,";",""))=0),'Special Help Table'!$A308,AND(LEN('Special Help Table'!$A308)-LEN(SUBSTITUTE('Special Help Table'!$A308,",","")=1),LEN('Special Help Table'!$A308)-LEN(SUBSTITUTE('Special Help Table'!$A308," ","")=20),LEN('Special Help Table'!$A308)-LEN(SUBSTITUTE('Special Help Table'!$A308," and",""))=0,LEN('Special Help Table'!$A308)-LEN(SUBSTITUTE('Special Help Table'!$A308,",","",FIND(" ",'Special Help Table'!$A308)+1))=0),RIGHT('Special Help Table'!$A308,LEN('Special Help Table'!$A308)-FIND(", ",'Special Help Table'!$A308))&amp;" "&amp;LEFT('Special Help Table'!$A308,FIND(",",'Special Help Table'!$A308)-1),AND(LEN('Special Help Table'!$A308)-LEN(SUBSTITUTE('Special Help Table'!$A308,"editor",""))=6,LEN('Special Help Table'!$A308)-LEN(SUBSTITUTE('Special Help Table'!$A308,"(",""))=0,LEN('Special Help Table'!$A308)-LEN(SUBSTITUTE('Special Help Table'!$A308,"and",""))=3,LEN('Special Help Table'!$A308)-LEN(SUBSTITUTE('Special Help Table'!$A308,",",""))=1,LEN('Special Help Table'!$A308)-LEN(SUBSTITUTE('Special Help Table'!$A308," ",""))=3),'Special Help Table'!$A308)</f>
        <v xml:space="preserve"> Dave Harvey</v>
      </c>
      <c r="C308" s="4" t="s">
        <v>623</v>
      </c>
      <c r="D308" s="2"/>
      <c r="E308" s="2" t="s">
        <v>16</v>
      </c>
      <c r="F308" s="2" t="s">
        <v>17</v>
      </c>
      <c r="G308" s="2"/>
      <c r="H308" s="2"/>
      <c r="I308" s="2"/>
      <c r="J308" s="2" t="s">
        <v>622</v>
      </c>
      <c r="K308" s="3">
        <v>40034</v>
      </c>
      <c r="L308" s="2"/>
      <c r="M308" s="2"/>
      <c r="N308" s="2" t="s">
        <v>18</v>
      </c>
    </row>
    <row r="309" spans="1:14" ht="15.75" customHeight="1" x14ac:dyDescent="0.35">
      <c r="A309" s="2" t="s">
        <v>624</v>
      </c>
      <c r="B309" s="2" t="str" cm="1">
        <f t="array" ref="B309">_xlfn.IFS(AND(LEN('Special Help Table'!$A309)-(LEN(SUBSTITUTE('Special Help Table'!$A309,";","")))=0,LEN('Special Help Table'!$A309)-LEN(SUBSTITUTE('Special Help Table'!$A309,",",""))=1,LEN('Special Help Table'!$A309)-LEN(SUBSTITUTE('Special Help Table'!$A309,"and ",""))=0),MID('Special Help Table'!$A309&amp;" "&amp;'Special Help Table'!$A309,SEARCH(", ",'Special Help Table'!$A309)+1,LEN('Special Help Table'!$A309)),AND(LEN('Special Help Table'!$A309)-(LEN(SUBSTITUTE('Special Help Table'!$A309,";","")))=1,LEN('Special Help Table'!$A309)-LEN(SUBSTITUTE('Special Help Table'!$A309,"and ",""))=0),MID('Special Help Table'!$A309,SEARCH(",",'Special Help Table'!$A309)+1,(SEARCH(";",'Special Help Table'!$A309)-1)-SEARCH(",",'Special Help Table'!$A309))&amp;" "&amp;LEFT('Special Help Table'!$A309,SEARCH(",",'Special Help Table'!$A309)-1)&amp;";"&amp;RIGHT('Special Help Table'!$A309,LEN('Special Help Table'!$A309)-SEARCH(",",'Special Help Table'!$A309,SEARCH(";",'Special Help Table'!$A309)))&amp;" "&amp;MID('Special Help Table'!$A309,SEARCH("; ",'Special Help Table'!$A309)+2,SEARCH(",",'Special Help Table'!$A309,SEARCH(";",'Special Help Table'!$A309))-SEARCH(";",'Special Help Table'!$A309)-2),AND(LEN('Special Help Table'!$A309)-LEN(SUBSTITUTE('Special Help Table'!$A309,"and ",""))=0,LEN('Special Help Table'!$A309)-LEN(SUBSTITUTE('Special Help Table'!$A309,";",""))=0),'Special Help Table'!$A309,AND(LEN('Special Help Table'!$A309)-LEN(SUBSTITUTE('Special Help Table'!$A309,",","")=1),LEN('Special Help Table'!$A309)-LEN(SUBSTITUTE('Special Help Table'!$A309," ","")=20),LEN('Special Help Table'!$A309)-LEN(SUBSTITUTE('Special Help Table'!$A309," and",""))=0,LEN('Special Help Table'!$A309)-LEN(SUBSTITUTE('Special Help Table'!$A309,",","",FIND(" ",'Special Help Table'!$A309)+1))=0),RIGHT('Special Help Table'!$A309,LEN('Special Help Table'!$A309)-FIND(", ",'Special Help Table'!$A309))&amp;" "&amp;LEFT('Special Help Table'!$A309,FIND(",",'Special Help Table'!$A309)-1),AND(LEN('Special Help Table'!$A309)-LEN(SUBSTITUTE('Special Help Table'!$A309,"editor",""))=6,LEN('Special Help Table'!$A309)-LEN(SUBSTITUTE('Special Help Table'!$A309,"(",""))=0,LEN('Special Help Table'!$A309)-LEN(SUBSTITUTE('Special Help Table'!$A309,"and",""))=3,LEN('Special Help Table'!$A309)-LEN(SUBSTITUTE('Special Help Table'!$A309,",",""))=1,LEN('Special Help Table'!$A309)-LEN(SUBSTITUTE('Special Help Table'!$A309," ",""))=3),'Special Help Table'!$A309)</f>
        <v xml:space="preserve"> Eric Hayden</v>
      </c>
      <c r="C309" s="4" t="s">
        <v>625</v>
      </c>
      <c r="D309" s="2"/>
      <c r="E309" s="2" t="s">
        <v>16</v>
      </c>
      <c r="F309" s="2" t="s">
        <v>39</v>
      </c>
      <c r="G309" s="2"/>
      <c r="H309" s="2"/>
      <c r="I309" s="2"/>
      <c r="J309" s="2"/>
      <c r="K309" s="3">
        <v>40035</v>
      </c>
      <c r="L309" s="2"/>
      <c r="M309" s="2"/>
      <c r="N309" s="2" t="s">
        <v>18</v>
      </c>
    </row>
    <row r="310" spans="1:14" ht="15.75" customHeight="1" x14ac:dyDescent="0.35">
      <c r="A310" s="2" t="s">
        <v>626</v>
      </c>
      <c r="B310" s="2" t="str" cm="1">
        <f t="array" ref="B310">_xlfn.IFS(AND(LEN('Special Help Table'!$A310)-(LEN(SUBSTITUTE('Special Help Table'!$A310,";","")))=0,LEN('Special Help Table'!$A310)-LEN(SUBSTITUTE('Special Help Table'!$A310,",",""))=1,LEN('Special Help Table'!$A310)-LEN(SUBSTITUTE('Special Help Table'!$A310,"and ",""))=0),MID('Special Help Table'!$A310&amp;" "&amp;'Special Help Table'!$A310,SEARCH(", ",'Special Help Table'!$A310)+1,LEN('Special Help Table'!$A310)),AND(LEN('Special Help Table'!$A310)-(LEN(SUBSTITUTE('Special Help Table'!$A310,";","")))=1,LEN('Special Help Table'!$A310)-LEN(SUBSTITUTE('Special Help Table'!$A310,"and ",""))=0),MID('Special Help Table'!$A310,SEARCH(",",'Special Help Table'!$A310)+1,(SEARCH(";",'Special Help Table'!$A310)-1)-SEARCH(",",'Special Help Table'!$A310))&amp;" "&amp;LEFT('Special Help Table'!$A310,SEARCH(",",'Special Help Table'!$A310)-1)&amp;";"&amp;RIGHT('Special Help Table'!$A310,LEN('Special Help Table'!$A310)-SEARCH(",",'Special Help Table'!$A310,SEARCH(";",'Special Help Table'!$A310)))&amp;" "&amp;MID('Special Help Table'!$A310,SEARCH("; ",'Special Help Table'!$A310)+2,SEARCH(",",'Special Help Table'!$A310,SEARCH(";",'Special Help Table'!$A310))-SEARCH(";",'Special Help Table'!$A310)-2),AND(LEN('Special Help Table'!$A310)-LEN(SUBSTITUTE('Special Help Table'!$A310,"and ",""))=0,LEN('Special Help Table'!$A310)-LEN(SUBSTITUTE('Special Help Table'!$A310,";",""))=0),'Special Help Table'!$A310,AND(LEN('Special Help Table'!$A310)-LEN(SUBSTITUTE('Special Help Table'!$A310,",","")=1),LEN('Special Help Table'!$A310)-LEN(SUBSTITUTE('Special Help Table'!$A310," ","")=20),LEN('Special Help Table'!$A310)-LEN(SUBSTITUTE('Special Help Table'!$A310," and",""))=0,LEN('Special Help Table'!$A310)-LEN(SUBSTITUTE('Special Help Table'!$A310,",","",FIND(" ",'Special Help Table'!$A310)+1))=0),RIGHT('Special Help Table'!$A310,LEN('Special Help Table'!$A310)-FIND(", ",'Special Help Table'!$A310))&amp;" "&amp;LEFT('Special Help Table'!$A310,FIND(",",'Special Help Table'!$A310)-1),AND(LEN('Special Help Table'!$A310)-LEN(SUBSTITUTE('Special Help Table'!$A310,"editor",""))=6,LEN('Special Help Table'!$A310)-LEN(SUBSTITUTE('Special Help Table'!$A310,"(",""))=0,LEN('Special Help Table'!$A310)-LEN(SUBSTITUTE('Special Help Table'!$A310,"and",""))=3,LEN('Special Help Table'!$A310)-LEN(SUBSTITUTE('Special Help Table'!$A310,",",""))=1,LEN('Special Help Table'!$A310)-LEN(SUBSTITUTE('Special Help Table'!$A310," ",""))=3),'Special Help Table'!$A310)</f>
        <v xml:space="preserve"> Linda Hayner</v>
      </c>
      <c r="C310" s="4" t="s">
        <v>627</v>
      </c>
      <c r="D310" s="2"/>
      <c r="E310" s="2" t="s">
        <v>16</v>
      </c>
      <c r="F310" s="2" t="s">
        <v>72</v>
      </c>
      <c r="G310" s="2"/>
      <c r="H310" s="2"/>
      <c r="I310" s="2"/>
      <c r="J310" s="2"/>
      <c r="K310" s="3">
        <v>41164</v>
      </c>
      <c r="L310" s="2"/>
      <c r="M310" s="2"/>
      <c r="N310" s="2" t="s">
        <v>18</v>
      </c>
    </row>
    <row r="311" spans="1:14" ht="15.75" customHeight="1" x14ac:dyDescent="0.35">
      <c r="A311" s="2" t="s">
        <v>628</v>
      </c>
      <c r="B311" s="2" t="str" cm="1">
        <f t="array" ref="B311">_xlfn.IFS(AND(LEN('Special Help Table'!$A311)-(LEN(SUBSTITUTE('Special Help Table'!$A311,";","")))=0,LEN('Special Help Table'!$A311)-LEN(SUBSTITUTE('Special Help Table'!$A311,",",""))=1,LEN('Special Help Table'!$A311)-LEN(SUBSTITUTE('Special Help Table'!$A311,"and ",""))=0),MID('Special Help Table'!$A311&amp;" "&amp;'Special Help Table'!$A311,SEARCH(", ",'Special Help Table'!$A311)+1,LEN('Special Help Table'!$A311)),AND(LEN('Special Help Table'!$A311)-(LEN(SUBSTITUTE('Special Help Table'!$A311,";","")))=1,LEN('Special Help Table'!$A311)-LEN(SUBSTITUTE('Special Help Table'!$A311,"and ",""))=0),MID('Special Help Table'!$A311,SEARCH(",",'Special Help Table'!$A311)+1,(SEARCH(";",'Special Help Table'!$A311)-1)-SEARCH(",",'Special Help Table'!$A311))&amp;" "&amp;LEFT('Special Help Table'!$A311,SEARCH(",",'Special Help Table'!$A311)-1)&amp;";"&amp;RIGHT('Special Help Table'!$A311,LEN('Special Help Table'!$A311)-SEARCH(",",'Special Help Table'!$A311,SEARCH(";",'Special Help Table'!$A311)))&amp;" "&amp;MID('Special Help Table'!$A311,SEARCH("; ",'Special Help Table'!$A311)+2,SEARCH(",",'Special Help Table'!$A311,SEARCH(";",'Special Help Table'!$A311))-SEARCH(";",'Special Help Table'!$A311)-2),AND(LEN('Special Help Table'!$A311)-LEN(SUBSTITUTE('Special Help Table'!$A311,"and ",""))=0,LEN('Special Help Table'!$A311)-LEN(SUBSTITUTE('Special Help Table'!$A311,";",""))=0),'Special Help Table'!$A311,AND(LEN('Special Help Table'!$A311)-LEN(SUBSTITUTE('Special Help Table'!$A311,",","")=1),LEN('Special Help Table'!$A311)-LEN(SUBSTITUTE('Special Help Table'!$A311," ","")=20),LEN('Special Help Table'!$A311)-LEN(SUBSTITUTE('Special Help Table'!$A311," and",""))=0,LEN('Special Help Table'!$A311)-LEN(SUBSTITUTE('Special Help Table'!$A311,",","",FIND(" ",'Special Help Table'!$A311)+1))=0),RIGHT('Special Help Table'!$A311,LEN('Special Help Table'!$A311)-FIND(", ",'Special Help Table'!$A311))&amp;" "&amp;LEFT('Special Help Table'!$A311,FIND(",",'Special Help Table'!$A311)-1),AND(LEN('Special Help Table'!$A311)-LEN(SUBSTITUTE('Special Help Table'!$A311,"editor",""))=6,LEN('Special Help Table'!$A311)-LEN(SUBSTITUTE('Special Help Table'!$A311,"(",""))=0,LEN('Special Help Table'!$A311)-LEN(SUBSTITUTE('Special Help Table'!$A311,"and",""))=3,LEN('Special Help Table'!$A311)-LEN(SUBSTITUTE('Special Help Table'!$A311,",",""))=1,LEN('Special Help Table'!$A311)-LEN(SUBSTITUTE('Special Help Table'!$A311," ",""))=3),'Special Help Table'!$A311)</f>
        <v xml:space="preserve"> Clare Heath-Whyte</v>
      </c>
      <c r="C311" s="4" t="s">
        <v>629</v>
      </c>
      <c r="D311" s="2"/>
      <c r="E311" s="2" t="s">
        <v>16</v>
      </c>
      <c r="F311" s="2" t="s">
        <v>72</v>
      </c>
      <c r="G311" s="2"/>
      <c r="H311" s="2"/>
      <c r="I311" s="2"/>
      <c r="J311" s="2"/>
      <c r="K311" s="3">
        <v>43046</v>
      </c>
      <c r="L311" s="2"/>
      <c r="M311" s="2"/>
      <c r="N311" s="2" t="s">
        <v>18</v>
      </c>
    </row>
    <row r="312" spans="1:14" ht="15.75" customHeight="1" x14ac:dyDescent="0.35">
      <c r="A312" s="2" t="s">
        <v>630</v>
      </c>
      <c r="B312" s="2" t="str" cm="1">
        <f t="array" ref="B312">_xlfn.IFS(AND(LEN('Special Help Table'!$A312)-(LEN(SUBSTITUTE('Special Help Table'!$A312,";","")))=0,LEN('Special Help Table'!$A312)-LEN(SUBSTITUTE('Special Help Table'!$A312,",",""))=1,LEN('Special Help Table'!$A312)-LEN(SUBSTITUTE('Special Help Table'!$A312,"and ",""))=0),MID('Special Help Table'!$A312&amp;" "&amp;'Special Help Table'!$A312,SEARCH(", ",'Special Help Table'!$A312)+1,LEN('Special Help Table'!$A312)),AND(LEN('Special Help Table'!$A312)-(LEN(SUBSTITUTE('Special Help Table'!$A312,";","")))=1,LEN('Special Help Table'!$A312)-LEN(SUBSTITUTE('Special Help Table'!$A312,"and ",""))=0),MID('Special Help Table'!$A312,SEARCH(",",'Special Help Table'!$A312)+1,(SEARCH(";",'Special Help Table'!$A312)-1)-SEARCH(",",'Special Help Table'!$A312))&amp;" "&amp;LEFT('Special Help Table'!$A312,SEARCH(",",'Special Help Table'!$A312)-1)&amp;";"&amp;RIGHT('Special Help Table'!$A312,LEN('Special Help Table'!$A312)-SEARCH(",",'Special Help Table'!$A312,SEARCH(";",'Special Help Table'!$A312)))&amp;" "&amp;MID('Special Help Table'!$A312,SEARCH("; ",'Special Help Table'!$A312)+2,SEARCH(",",'Special Help Table'!$A312,SEARCH(";",'Special Help Table'!$A312))-SEARCH(";",'Special Help Table'!$A312)-2),AND(LEN('Special Help Table'!$A312)-LEN(SUBSTITUTE('Special Help Table'!$A312,"and ",""))=0,LEN('Special Help Table'!$A312)-LEN(SUBSTITUTE('Special Help Table'!$A312,";",""))=0),'Special Help Table'!$A312,AND(LEN('Special Help Table'!$A312)-LEN(SUBSTITUTE('Special Help Table'!$A312,",","")=1),LEN('Special Help Table'!$A312)-LEN(SUBSTITUTE('Special Help Table'!$A312," ","")=20),LEN('Special Help Table'!$A312)-LEN(SUBSTITUTE('Special Help Table'!$A312," and",""))=0,LEN('Special Help Table'!$A312)-LEN(SUBSTITUTE('Special Help Table'!$A312,",","",FIND(" ",'Special Help Table'!$A312)+1))=0),RIGHT('Special Help Table'!$A312,LEN('Special Help Table'!$A312)-FIND(", ",'Special Help Table'!$A312))&amp;" "&amp;LEFT('Special Help Table'!$A312,FIND(",",'Special Help Table'!$A312)-1),AND(LEN('Special Help Table'!$A312)-LEN(SUBSTITUTE('Special Help Table'!$A312,"editor",""))=6,LEN('Special Help Table'!$A312)-LEN(SUBSTITUTE('Special Help Table'!$A312,"(",""))=0,LEN('Special Help Table'!$A312)-LEN(SUBSTITUTE('Special Help Table'!$A312,"and",""))=3,LEN('Special Help Table'!$A312)-LEN(SUBSTITUTE('Special Help Table'!$A312,",",""))=1,LEN('Special Help Table'!$A312)-LEN(SUBSTITUTE('Special Help Table'!$A312," ",""))=3),'Special Help Table'!$A312)</f>
        <v xml:space="preserve"> David R. Helm</v>
      </c>
      <c r="C312" s="4" t="s">
        <v>631</v>
      </c>
      <c r="D312" s="2"/>
      <c r="E312" s="2" t="s">
        <v>16</v>
      </c>
      <c r="F312" s="2" t="s">
        <v>36</v>
      </c>
      <c r="G312" s="2"/>
      <c r="H312" s="2" t="s">
        <v>401</v>
      </c>
      <c r="I312" s="2"/>
      <c r="J312" s="2"/>
      <c r="K312" s="3">
        <v>42966</v>
      </c>
      <c r="L312" s="2"/>
      <c r="M312" s="2"/>
      <c r="N312" s="2" t="s">
        <v>18</v>
      </c>
    </row>
    <row r="313" spans="1:14" ht="15.75" customHeight="1" x14ac:dyDescent="0.35">
      <c r="A313" s="2" t="s">
        <v>632</v>
      </c>
      <c r="B313" s="2" t="str" cm="1">
        <f t="array" ref="B313">_xlfn.IFS(AND(LEN('Special Help Table'!$A313)-(LEN(SUBSTITUTE('Special Help Table'!$A313,";","")))=0,LEN('Special Help Table'!$A313)-LEN(SUBSTITUTE('Special Help Table'!$A313,",",""))=1,LEN('Special Help Table'!$A313)-LEN(SUBSTITUTE('Special Help Table'!$A313,"and ",""))=0),MID('Special Help Table'!$A313&amp;" "&amp;'Special Help Table'!$A313,SEARCH(", ",'Special Help Table'!$A313)+1,LEN('Special Help Table'!$A313)),AND(LEN('Special Help Table'!$A313)-(LEN(SUBSTITUTE('Special Help Table'!$A313,";","")))=1,LEN('Special Help Table'!$A313)-LEN(SUBSTITUTE('Special Help Table'!$A313,"and ",""))=0),MID('Special Help Table'!$A313,SEARCH(",",'Special Help Table'!$A313)+1,(SEARCH(";",'Special Help Table'!$A313)-1)-SEARCH(",",'Special Help Table'!$A313))&amp;" "&amp;LEFT('Special Help Table'!$A313,SEARCH(",",'Special Help Table'!$A313)-1)&amp;";"&amp;RIGHT('Special Help Table'!$A313,LEN('Special Help Table'!$A313)-SEARCH(",",'Special Help Table'!$A313,SEARCH(";",'Special Help Table'!$A313)))&amp;" "&amp;MID('Special Help Table'!$A313,SEARCH("; ",'Special Help Table'!$A313)+2,SEARCH(",",'Special Help Table'!$A313,SEARCH(";",'Special Help Table'!$A313))-SEARCH(";",'Special Help Table'!$A313)-2),AND(LEN('Special Help Table'!$A313)-LEN(SUBSTITUTE('Special Help Table'!$A313,"and ",""))=0,LEN('Special Help Table'!$A313)-LEN(SUBSTITUTE('Special Help Table'!$A313,";",""))=0),'Special Help Table'!$A313,AND(LEN('Special Help Table'!$A313)-LEN(SUBSTITUTE('Special Help Table'!$A313,",","")=1),LEN('Special Help Table'!$A313)-LEN(SUBSTITUTE('Special Help Table'!$A313," ","")=20),LEN('Special Help Table'!$A313)-LEN(SUBSTITUTE('Special Help Table'!$A313," and",""))=0,LEN('Special Help Table'!$A313)-LEN(SUBSTITUTE('Special Help Table'!$A313,",","",FIND(" ",'Special Help Table'!$A313)+1))=0),RIGHT('Special Help Table'!$A313,LEN('Special Help Table'!$A313)-FIND(", ",'Special Help Table'!$A313))&amp;" "&amp;LEFT('Special Help Table'!$A313,FIND(",",'Special Help Table'!$A313)-1),AND(LEN('Special Help Table'!$A313)-LEN(SUBSTITUTE('Special Help Table'!$A313,"editor",""))=6,LEN('Special Help Table'!$A313)-LEN(SUBSTITUTE('Special Help Table'!$A313,"(",""))=0,LEN('Special Help Table'!$A313)-LEN(SUBSTITUTE('Special Help Table'!$A313,"and",""))=3,LEN('Special Help Table'!$A313)-LEN(SUBSTITUTE('Special Help Table'!$A313,",",""))=1,LEN('Special Help Table'!$A313)-LEN(SUBSTITUTE('Special Help Table'!$A313," ",""))=3),'Special Help Table'!$A313)</f>
        <v xml:space="preserve"> Selah Helms; Susan Kahler</v>
      </c>
      <c r="C313" s="4" t="s">
        <v>633</v>
      </c>
      <c r="D313" s="2" t="s">
        <v>634</v>
      </c>
      <c r="E313" s="2" t="s">
        <v>16</v>
      </c>
      <c r="F313" s="2" t="s">
        <v>72</v>
      </c>
      <c r="G313" s="2"/>
      <c r="H313" s="2"/>
      <c r="I313" s="2"/>
      <c r="J313" s="2"/>
      <c r="K313" s="3"/>
      <c r="L313" s="2"/>
      <c r="M313" s="2"/>
      <c r="N313" s="2" t="s">
        <v>18</v>
      </c>
    </row>
    <row r="314" spans="1:14" ht="15.75" customHeight="1" x14ac:dyDescent="0.35">
      <c r="A314" s="2" t="s">
        <v>632</v>
      </c>
      <c r="B314" s="2" t="str" cm="1">
        <f t="array" ref="B314">_xlfn.IFS(AND(LEN('Special Help Table'!$A314)-(LEN(SUBSTITUTE('Special Help Table'!$A314,";","")))=0,LEN('Special Help Table'!$A314)-LEN(SUBSTITUTE('Special Help Table'!$A314,",",""))=1,LEN('Special Help Table'!$A314)-LEN(SUBSTITUTE('Special Help Table'!$A314,"and ",""))=0),MID('Special Help Table'!$A314&amp;" "&amp;'Special Help Table'!$A314,SEARCH(", ",'Special Help Table'!$A314)+1,LEN('Special Help Table'!$A314)),AND(LEN('Special Help Table'!$A314)-(LEN(SUBSTITUTE('Special Help Table'!$A314,";","")))=1,LEN('Special Help Table'!$A314)-LEN(SUBSTITUTE('Special Help Table'!$A314,"and ",""))=0),MID('Special Help Table'!$A314,SEARCH(",",'Special Help Table'!$A314)+1,(SEARCH(";",'Special Help Table'!$A314)-1)-SEARCH(",",'Special Help Table'!$A314))&amp;" "&amp;LEFT('Special Help Table'!$A314,SEARCH(",",'Special Help Table'!$A314)-1)&amp;";"&amp;RIGHT('Special Help Table'!$A314,LEN('Special Help Table'!$A314)-SEARCH(",",'Special Help Table'!$A314,SEARCH(";",'Special Help Table'!$A314)))&amp;" "&amp;MID('Special Help Table'!$A314,SEARCH("; ",'Special Help Table'!$A314)+2,SEARCH(",",'Special Help Table'!$A314,SEARCH(";",'Special Help Table'!$A314))-SEARCH(";",'Special Help Table'!$A314)-2),AND(LEN('Special Help Table'!$A314)-LEN(SUBSTITUTE('Special Help Table'!$A314,"and ",""))=0,LEN('Special Help Table'!$A314)-LEN(SUBSTITUTE('Special Help Table'!$A314,";",""))=0),'Special Help Table'!$A314,AND(LEN('Special Help Table'!$A314)-LEN(SUBSTITUTE('Special Help Table'!$A314,",","")=1),LEN('Special Help Table'!$A314)-LEN(SUBSTITUTE('Special Help Table'!$A314," ","")=20),LEN('Special Help Table'!$A314)-LEN(SUBSTITUTE('Special Help Table'!$A314," and",""))=0,LEN('Special Help Table'!$A314)-LEN(SUBSTITUTE('Special Help Table'!$A314,",","",FIND(" ",'Special Help Table'!$A314)+1))=0),RIGHT('Special Help Table'!$A314,LEN('Special Help Table'!$A314)-FIND(", ",'Special Help Table'!$A314))&amp;" "&amp;LEFT('Special Help Table'!$A314,FIND(",",'Special Help Table'!$A314)-1),AND(LEN('Special Help Table'!$A314)-LEN(SUBSTITUTE('Special Help Table'!$A314,"editor",""))=6,LEN('Special Help Table'!$A314)-LEN(SUBSTITUTE('Special Help Table'!$A314,"(",""))=0,LEN('Special Help Table'!$A314)-LEN(SUBSTITUTE('Special Help Table'!$A314,"and",""))=3,LEN('Special Help Table'!$A314)-LEN(SUBSTITUTE('Special Help Table'!$A314,",",""))=1,LEN('Special Help Table'!$A314)-LEN(SUBSTITUTE('Special Help Table'!$A314," ",""))=3),'Special Help Table'!$A314)</f>
        <v xml:space="preserve"> Selah Helms; Susan Kahler</v>
      </c>
      <c r="C314" s="4" t="s">
        <v>635</v>
      </c>
      <c r="D314" s="2" t="s">
        <v>634</v>
      </c>
      <c r="E314" s="2" t="s">
        <v>16</v>
      </c>
      <c r="F314" s="2" t="s">
        <v>72</v>
      </c>
      <c r="G314" s="2"/>
      <c r="H314" s="2"/>
      <c r="I314" s="2"/>
      <c r="J314" s="2"/>
      <c r="K314" s="3"/>
      <c r="L314" s="2"/>
      <c r="M314" s="2"/>
      <c r="N314" s="2" t="s">
        <v>18</v>
      </c>
    </row>
    <row r="315" spans="1:14" ht="15.75" customHeight="1" x14ac:dyDescent="0.35">
      <c r="A315" s="2" t="s">
        <v>632</v>
      </c>
      <c r="B315" s="2" t="str" cm="1">
        <f t="array" ref="B315">_xlfn.IFS(AND(LEN('Special Help Table'!$A315)-(LEN(SUBSTITUTE('Special Help Table'!$A315,";","")))=0,LEN('Special Help Table'!$A315)-LEN(SUBSTITUTE('Special Help Table'!$A315,",",""))=1,LEN('Special Help Table'!$A315)-LEN(SUBSTITUTE('Special Help Table'!$A315,"and ",""))=0),MID('Special Help Table'!$A315&amp;" "&amp;'Special Help Table'!$A315,SEARCH(", ",'Special Help Table'!$A315)+1,LEN('Special Help Table'!$A315)),AND(LEN('Special Help Table'!$A315)-(LEN(SUBSTITUTE('Special Help Table'!$A315,";","")))=1,LEN('Special Help Table'!$A315)-LEN(SUBSTITUTE('Special Help Table'!$A315,"and ",""))=0),MID('Special Help Table'!$A315,SEARCH(",",'Special Help Table'!$A315)+1,(SEARCH(";",'Special Help Table'!$A315)-1)-SEARCH(",",'Special Help Table'!$A315))&amp;" "&amp;LEFT('Special Help Table'!$A315,SEARCH(",",'Special Help Table'!$A315)-1)&amp;";"&amp;RIGHT('Special Help Table'!$A315,LEN('Special Help Table'!$A315)-SEARCH(",",'Special Help Table'!$A315,SEARCH(";",'Special Help Table'!$A315)))&amp;" "&amp;MID('Special Help Table'!$A315,SEARCH("; ",'Special Help Table'!$A315)+2,SEARCH(",",'Special Help Table'!$A315,SEARCH(";",'Special Help Table'!$A315))-SEARCH(";",'Special Help Table'!$A315)-2),AND(LEN('Special Help Table'!$A315)-LEN(SUBSTITUTE('Special Help Table'!$A315,"and ",""))=0,LEN('Special Help Table'!$A315)-LEN(SUBSTITUTE('Special Help Table'!$A315,";",""))=0),'Special Help Table'!$A315,AND(LEN('Special Help Table'!$A315)-LEN(SUBSTITUTE('Special Help Table'!$A315,",","")=1),LEN('Special Help Table'!$A315)-LEN(SUBSTITUTE('Special Help Table'!$A315," ","")=20),LEN('Special Help Table'!$A315)-LEN(SUBSTITUTE('Special Help Table'!$A315," and",""))=0,LEN('Special Help Table'!$A315)-LEN(SUBSTITUTE('Special Help Table'!$A315,",","",FIND(" ",'Special Help Table'!$A315)+1))=0),RIGHT('Special Help Table'!$A315,LEN('Special Help Table'!$A315)-FIND(", ",'Special Help Table'!$A315))&amp;" "&amp;LEFT('Special Help Table'!$A315,FIND(",",'Special Help Table'!$A315)-1),AND(LEN('Special Help Table'!$A315)-LEN(SUBSTITUTE('Special Help Table'!$A315,"editor",""))=6,LEN('Special Help Table'!$A315)-LEN(SUBSTITUTE('Special Help Table'!$A315,"(",""))=0,LEN('Special Help Table'!$A315)-LEN(SUBSTITUTE('Special Help Table'!$A315,"and",""))=3,LEN('Special Help Table'!$A315)-LEN(SUBSTITUTE('Special Help Table'!$A315,",",""))=1,LEN('Special Help Table'!$A315)-LEN(SUBSTITUTE('Special Help Table'!$A315," ",""))=3),'Special Help Table'!$A315)</f>
        <v xml:space="preserve"> Selah Helms; Susan Kahler</v>
      </c>
      <c r="C315" s="4" t="s">
        <v>636</v>
      </c>
      <c r="D315" s="2" t="s">
        <v>634</v>
      </c>
      <c r="E315" s="2" t="s">
        <v>16</v>
      </c>
      <c r="F315" s="2" t="s">
        <v>72</v>
      </c>
      <c r="G315" s="2"/>
      <c r="H315" s="2"/>
      <c r="I315" s="2"/>
      <c r="J315" s="2"/>
      <c r="K315" s="3"/>
      <c r="L315" s="2"/>
      <c r="M315" s="2"/>
      <c r="N315" s="2" t="s">
        <v>18</v>
      </c>
    </row>
    <row r="316" spans="1:14" ht="15.75" customHeight="1" x14ac:dyDescent="0.35">
      <c r="A316" s="2" t="s">
        <v>637</v>
      </c>
      <c r="B316" s="2" t="str" cm="1">
        <f t="array" ref="B316">_xlfn.IFS(AND(LEN('Special Help Table'!$A316)-(LEN(SUBSTITUTE('Special Help Table'!$A316,";","")))=0,LEN('Special Help Table'!$A316)-LEN(SUBSTITUTE('Special Help Table'!$A316,",",""))=1,LEN('Special Help Table'!$A316)-LEN(SUBSTITUTE('Special Help Table'!$A316,"and ",""))=0),MID('Special Help Table'!$A316&amp;" "&amp;'Special Help Table'!$A316,SEARCH(", ",'Special Help Table'!$A316)+1,LEN('Special Help Table'!$A316)),AND(LEN('Special Help Table'!$A316)-(LEN(SUBSTITUTE('Special Help Table'!$A316,";","")))=1,LEN('Special Help Table'!$A316)-LEN(SUBSTITUTE('Special Help Table'!$A316,"and ",""))=0),MID('Special Help Table'!$A316,SEARCH(",",'Special Help Table'!$A316)+1,(SEARCH(";",'Special Help Table'!$A316)-1)-SEARCH(",",'Special Help Table'!$A316))&amp;" "&amp;LEFT('Special Help Table'!$A316,SEARCH(",",'Special Help Table'!$A316)-1)&amp;";"&amp;RIGHT('Special Help Table'!$A316,LEN('Special Help Table'!$A316)-SEARCH(",",'Special Help Table'!$A316,SEARCH(";",'Special Help Table'!$A316)))&amp;" "&amp;MID('Special Help Table'!$A316,SEARCH("; ",'Special Help Table'!$A316)+2,SEARCH(",",'Special Help Table'!$A316,SEARCH(";",'Special Help Table'!$A316))-SEARCH(";",'Special Help Table'!$A316)-2),AND(LEN('Special Help Table'!$A316)-LEN(SUBSTITUTE('Special Help Table'!$A316,"and ",""))=0,LEN('Special Help Table'!$A316)-LEN(SUBSTITUTE('Special Help Table'!$A316,";",""))=0),'Special Help Table'!$A316,AND(LEN('Special Help Table'!$A316)-LEN(SUBSTITUTE('Special Help Table'!$A316,",","")=1),LEN('Special Help Table'!$A316)-LEN(SUBSTITUTE('Special Help Table'!$A316," ","")=20),LEN('Special Help Table'!$A316)-LEN(SUBSTITUTE('Special Help Table'!$A316," and",""))=0,LEN('Special Help Table'!$A316)-LEN(SUBSTITUTE('Special Help Table'!$A316,",","",FIND(" ",'Special Help Table'!$A316)+1))=0),RIGHT('Special Help Table'!$A316,LEN('Special Help Table'!$A316)-FIND(", ",'Special Help Table'!$A316))&amp;" "&amp;LEFT('Special Help Table'!$A316,FIND(",",'Special Help Table'!$A316)-1),AND(LEN('Special Help Table'!$A316)-LEN(SUBSTITUTE('Special Help Table'!$A316,"editor",""))=6,LEN('Special Help Table'!$A316)-LEN(SUBSTITUTE('Special Help Table'!$A316,"(",""))=0,LEN('Special Help Table'!$A316)-LEN(SUBSTITUTE('Special Help Table'!$A316,"and",""))=3,LEN('Special Help Table'!$A316)-LEN(SUBSTITUTE('Special Help Table'!$A316,",",""))=1,LEN('Special Help Table'!$A316)-LEN(SUBSTITUTE('Special Help Table'!$A316," ",""))=3),'Special Help Table'!$A316)</f>
        <v xml:space="preserve"> Howard G  Hendricks</v>
      </c>
      <c r="C316" s="4" t="s">
        <v>638</v>
      </c>
      <c r="D316" s="2"/>
      <c r="E316" s="2" t="s">
        <v>16</v>
      </c>
      <c r="F316" s="2" t="s">
        <v>76</v>
      </c>
      <c r="G316" s="2"/>
      <c r="H316" s="2"/>
      <c r="I316" s="2"/>
      <c r="J316" s="2"/>
      <c r="K316" s="3">
        <v>40036</v>
      </c>
      <c r="L316" s="2"/>
      <c r="M316" s="2"/>
      <c r="N316" s="2" t="s">
        <v>18</v>
      </c>
    </row>
    <row r="317" spans="1:14" ht="15.75" customHeight="1" x14ac:dyDescent="0.35">
      <c r="A317" s="2" t="s">
        <v>639</v>
      </c>
      <c r="B317" s="2" t="str" cm="1">
        <f t="array" ref="B317">_xlfn.IFS(AND(LEN('Special Help Table'!$A317)-(LEN(SUBSTITUTE('Special Help Table'!$A317,";","")))=0,LEN('Special Help Table'!$A317)-LEN(SUBSTITUTE('Special Help Table'!$A317,",",""))=1,LEN('Special Help Table'!$A317)-LEN(SUBSTITUTE('Special Help Table'!$A317,"and ",""))=0),MID('Special Help Table'!$A317&amp;" "&amp;'Special Help Table'!$A317,SEARCH(", ",'Special Help Table'!$A317)+1,LEN('Special Help Table'!$A317)),AND(LEN('Special Help Table'!$A317)-(LEN(SUBSTITUTE('Special Help Table'!$A317,";","")))=1,LEN('Special Help Table'!$A317)-LEN(SUBSTITUTE('Special Help Table'!$A317,"and ",""))=0),MID('Special Help Table'!$A317,SEARCH(",",'Special Help Table'!$A317)+1,(SEARCH(";",'Special Help Table'!$A317)-1)-SEARCH(",",'Special Help Table'!$A317))&amp;" "&amp;LEFT('Special Help Table'!$A317,SEARCH(",",'Special Help Table'!$A317)-1)&amp;";"&amp;RIGHT('Special Help Table'!$A317,LEN('Special Help Table'!$A317)-SEARCH(",",'Special Help Table'!$A317,SEARCH(";",'Special Help Table'!$A317)))&amp;" "&amp;MID('Special Help Table'!$A317,SEARCH("; ",'Special Help Table'!$A317)+2,SEARCH(",",'Special Help Table'!$A317,SEARCH(";",'Special Help Table'!$A317))-SEARCH(";",'Special Help Table'!$A317)-2),AND(LEN('Special Help Table'!$A317)-LEN(SUBSTITUTE('Special Help Table'!$A317,"and ",""))=0,LEN('Special Help Table'!$A317)-LEN(SUBSTITUTE('Special Help Table'!$A317,";",""))=0),'Special Help Table'!$A317,AND(LEN('Special Help Table'!$A317)-LEN(SUBSTITUTE('Special Help Table'!$A317,",","")=1),LEN('Special Help Table'!$A317)-LEN(SUBSTITUTE('Special Help Table'!$A317," ","")=20),LEN('Special Help Table'!$A317)-LEN(SUBSTITUTE('Special Help Table'!$A317," and",""))=0,LEN('Special Help Table'!$A317)-LEN(SUBSTITUTE('Special Help Table'!$A317,",","",FIND(" ",'Special Help Table'!$A317)+1))=0),RIGHT('Special Help Table'!$A317,LEN('Special Help Table'!$A317)-FIND(", ",'Special Help Table'!$A317))&amp;" "&amp;LEFT('Special Help Table'!$A317,FIND(",",'Special Help Table'!$A317)-1),AND(LEN('Special Help Table'!$A317)-LEN(SUBSTITUTE('Special Help Table'!$A317,"editor",""))=6,LEN('Special Help Table'!$A317)-LEN(SUBSTITUTE('Special Help Table'!$A317,"(",""))=0,LEN('Special Help Table'!$A317)-LEN(SUBSTITUTE('Special Help Table'!$A317,"and",""))=3,LEN('Special Help Table'!$A317)-LEN(SUBSTITUTE('Special Help Table'!$A317,",",""))=1,LEN('Special Help Table'!$A317)-LEN(SUBSTITUTE('Special Help Table'!$A317," ",""))=3),'Special Help Table'!$A317)</f>
        <v xml:space="preserve"> Marissa Henley</v>
      </c>
      <c r="C317" s="4" t="s">
        <v>640</v>
      </c>
      <c r="D317" s="2"/>
      <c r="E317" s="2" t="s">
        <v>16</v>
      </c>
      <c r="F317" s="2" t="s">
        <v>17</v>
      </c>
      <c r="G317" s="2"/>
      <c r="H317" s="2"/>
      <c r="I317" s="2"/>
      <c r="J317" s="2" t="s">
        <v>350</v>
      </c>
      <c r="K317" s="3"/>
      <c r="L317" s="2"/>
      <c r="M317" s="2"/>
      <c r="N317" s="2" t="s">
        <v>18</v>
      </c>
    </row>
    <row r="318" spans="1:14" ht="15.75" customHeight="1" x14ac:dyDescent="0.35">
      <c r="A318" s="2" t="s">
        <v>641</v>
      </c>
      <c r="B318" s="2" t="str" cm="1">
        <f t="array" ref="B318">_xlfn.IFS(AND(LEN('Special Help Table'!$A318)-(LEN(SUBSTITUTE('Special Help Table'!$A318,";","")))=0,LEN('Special Help Table'!$A318)-LEN(SUBSTITUTE('Special Help Table'!$A318,",",""))=1,LEN('Special Help Table'!$A318)-LEN(SUBSTITUTE('Special Help Table'!$A318,"and ",""))=0),MID('Special Help Table'!$A318&amp;" "&amp;'Special Help Table'!$A318,SEARCH(", ",'Special Help Table'!$A318)+1,LEN('Special Help Table'!$A318)),AND(LEN('Special Help Table'!$A318)-(LEN(SUBSTITUTE('Special Help Table'!$A318,";","")))=1,LEN('Special Help Table'!$A318)-LEN(SUBSTITUTE('Special Help Table'!$A318,"and ",""))=0),MID('Special Help Table'!$A318,SEARCH(",",'Special Help Table'!$A318)+1,(SEARCH(";",'Special Help Table'!$A318)-1)-SEARCH(",",'Special Help Table'!$A318))&amp;" "&amp;LEFT('Special Help Table'!$A318,SEARCH(",",'Special Help Table'!$A318)-1)&amp;";"&amp;RIGHT('Special Help Table'!$A318,LEN('Special Help Table'!$A318)-SEARCH(",",'Special Help Table'!$A318,SEARCH(";",'Special Help Table'!$A318)))&amp;" "&amp;MID('Special Help Table'!$A318,SEARCH("; ",'Special Help Table'!$A318)+2,SEARCH(",",'Special Help Table'!$A318,SEARCH(";",'Special Help Table'!$A318))-SEARCH(";",'Special Help Table'!$A318)-2),AND(LEN('Special Help Table'!$A318)-LEN(SUBSTITUTE('Special Help Table'!$A318,"and ",""))=0,LEN('Special Help Table'!$A318)-LEN(SUBSTITUTE('Special Help Table'!$A318,";",""))=0),'Special Help Table'!$A318,AND(LEN('Special Help Table'!$A318)-LEN(SUBSTITUTE('Special Help Table'!$A318,",","")=1),LEN('Special Help Table'!$A318)-LEN(SUBSTITUTE('Special Help Table'!$A318," ","")=20),LEN('Special Help Table'!$A318)-LEN(SUBSTITUTE('Special Help Table'!$A318," and",""))=0,LEN('Special Help Table'!$A318)-LEN(SUBSTITUTE('Special Help Table'!$A318,",","",FIND(" ",'Special Help Table'!$A318)+1))=0),RIGHT('Special Help Table'!$A318,LEN('Special Help Table'!$A318)-FIND(", ",'Special Help Table'!$A318))&amp;" "&amp;LEFT('Special Help Table'!$A318,FIND(",",'Special Help Table'!$A318)-1),AND(LEN('Special Help Table'!$A318)-LEN(SUBSTITUTE('Special Help Table'!$A318,"editor",""))=6,LEN('Special Help Table'!$A318)-LEN(SUBSTITUTE('Special Help Table'!$A318,"(",""))=0,LEN('Special Help Table'!$A318)-LEN(SUBSTITUTE('Special Help Table'!$A318,"and",""))=3,LEN('Special Help Table'!$A318)-LEN(SUBSTITUTE('Special Help Table'!$A318,",",""))=1,LEN('Special Help Table'!$A318)-LEN(SUBSTITUTE('Special Help Table'!$A318," ",""))=3),'Special Help Table'!$A318)</f>
        <v xml:space="preserve"> Matthew Henry</v>
      </c>
      <c r="C318" s="4" t="s">
        <v>642</v>
      </c>
      <c r="D318" s="2"/>
      <c r="E318" s="2" t="s">
        <v>16</v>
      </c>
      <c r="F318" s="2" t="s">
        <v>92</v>
      </c>
      <c r="G318" s="2"/>
      <c r="H318" s="2"/>
      <c r="I318" s="2"/>
      <c r="J318" s="2" t="s">
        <v>643</v>
      </c>
      <c r="K318" s="3">
        <v>44534</v>
      </c>
      <c r="L318" s="2"/>
      <c r="M318" s="2"/>
      <c r="N318" s="2" t="s">
        <v>18</v>
      </c>
    </row>
    <row r="319" spans="1:14" ht="15.75" customHeight="1" x14ac:dyDescent="0.35">
      <c r="A319" s="2" t="s">
        <v>644</v>
      </c>
      <c r="B319" s="2" t="str" cm="1">
        <f t="array" ref="B319">_xlfn.IFS(AND(LEN('Special Help Table'!$A319)-(LEN(SUBSTITUTE('Special Help Table'!$A319,";","")))=0,LEN('Special Help Table'!$A319)-LEN(SUBSTITUTE('Special Help Table'!$A319,",",""))=1,LEN('Special Help Table'!$A319)-LEN(SUBSTITUTE('Special Help Table'!$A319,"and ",""))=0),MID('Special Help Table'!$A319&amp;" "&amp;'Special Help Table'!$A319,SEARCH(", ",'Special Help Table'!$A319)+1,LEN('Special Help Table'!$A319)),AND(LEN('Special Help Table'!$A319)-(LEN(SUBSTITUTE('Special Help Table'!$A319,";","")))=1,LEN('Special Help Table'!$A319)-LEN(SUBSTITUTE('Special Help Table'!$A319,"and ",""))=0),MID('Special Help Table'!$A319,SEARCH(",",'Special Help Table'!$A319)+1,(SEARCH(";",'Special Help Table'!$A319)-1)-SEARCH(",",'Special Help Table'!$A319))&amp;" "&amp;LEFT('Special Help Table'!$A319,SEARCH(",",'Special Help Table'!$A319)-1)&amp;";"&amp;RIGHT('Special Help Table'!$A319,LEN('Special Help Table'!$A319)-SEARCH(",",'Special Help Table'!$A319,SEARCH(";",'Special Help Table'!$A319)))&amp;" "&amp;MID('Special Help Table'!$A319,SEARCH("; ",'Special Help Table'!$A319)+2,SEARCH(",",'Special Help Table'!$A319,SEARCH(";",'Special Help Table'!$A319))-SEARCH(";",'Special Help Table'!$A319)-2),AND(LEN('Special Help Table'!$A319)-LEN(SUBSTITUTE('Special Help Table'!$A319,"and ",""))=0,LEN('Special Help Table'!$A319)-LEN(SUBSTITUTE('Special Help Table'!$A319,";",""))=0),'Special Help Table'!$A319,AND(LEN('Special Help Table'!$A319)-LEN(SUBSTITUTE('Special Help Table'!$A319,",","")=1),LEN('Special Help Table'!$A319)-LEN(SUBSTITUTE('Special Help Table'!$A319," ","")=20),LEN('Special Help Table'!$A319)-LEN(SUBSTITUTE('Special Help Table'!$A319," and",""))=0,LEN('Special Help Table'!$A319)-LEN(SUBSTITUTE('Special Help Table'!$A319,",","",FIND(" ",'Special Help Table'!$A319)+1))=0),RIGHT('Special Help Table'!$A319,LEN('Special Help Table'!$A319)-FIND(", ",'Special Help Table'!$A319))&amp;" "&amp;LEFT('Special Help Table'!$A319,FIND(",",'Special Help Table'!$A319)-1),AND(LEN('Special Help Table'!$A319)-LEN(SUBSTITUTE('Special Help Table'!$A319,"editor",""))=6,LEN('Special Help Table'!$A319)-LEN(SUBSTITUTE('Special Help Table'!$A319,"(",""))=0,LEN('Special Help Table'!$A319)-LEN(SUBSTITUTE('Special Help Table'!$A319,"and",""))=3,LEN('Special Help Table'!$A319)-LEN(SUBSTITUTE('Special Help Table'!$A319,",",""))=1,LEN('Special Help Table'!$A319)-LEN(SUBSTITUTE('Special Help Table'!$A319," ",""))=3),'Special Help Table'!$A319)</f>
        <v xml:space="preserve"> Donnalynn Hess Hess</v>
      </c>
      <c r="C319" s="4" t="s">
        <v>645</v>
      </c>
      <c r="D319" s="2"/>
      <c r="E319" s="2" t="s">
        <v>16</v>
      </c>
      <c r="F319" s="2" t="s">
        <v>72</v>
      </c>
      <c r="G319" s="2"/>
      <c r="H319" s="2"/>
      <c r="I319" s="2"/>
      <c r="J319" s="2"/>
      <c r="K319" s="3">
        <v>41011</v>
      </c>
      <c r="L319" s="2"/>
      <c r="M319" s="2"/>
      <c r="N319" s="2" t="s">
        <v>18</v>
      </c>
    </row>
    <row r="320" spans="1:14" ht="15.75" customHeight="1" x14ac:dyDescent="0.35">
      <c r="A320" s="2" t="s">
        <v>644</v>
      </c>
      <c r="B320" s="2" t="str" cm="1">
        <f t="array" ref="B320">_xlfn.IFS(AND(LEN('Special Help Table'!$A320)-(LEN(SUBSTITUTE('Special Help Table'!$A320,";","")))=0,LEN('Special Help Table'!$A320)-LEN(SUBSTITUTE('Special Help Table'!$A320,",",""))=1,LEN('Special Help Table'!$A320)-LEN(SUBSTITUTE('Special Help Table'!$A320,"and ",""))=0),MID('Special Help Table'!$A320&amp;" "&amp;'Special Help Table'!$A320,SEARCH(", ",'Special Help Table'!$A320)+1,LEN('Special Help Table'!$A320)),AND(LEN('Special Help Table'!$A320)-(LEN(SUBSTITUTE('Special Help Table'!$A320,";","")))=1,LEN('Special Help Table'!$A320)-LEN(SUBSTITUTE('Special Help Table'!$A320,"and ",""))=0),MID('Special Help Table'!$A320,SEARCH(",",'Special Help Table'!$A320)+1,(SEARCH(";",'Special Help Table'!$A320)-1)-SEARCH(",",'Special Help Table'!$A320))&amp;" "&amp;LEFT('Special Help Table'!$A320,SEARCH(",",'Special Help Table'!$A320)-1)&amp;";"&amp;RIGHT('Special Help Table'!$A320,LEN('Special Help Table'!$A320)-SEARCH(",",'Special Help Table'!$A320,SEARCH(";",'Special Help Table'!$A320)))&amp;" "&amp;MID('Special Help Table'!$A320,SEARCH("; ",'Special Help Table'!$A320)+2,SEARCH(",",'Special Help Table'!$A320,SEARCH(";",'Special Help Table'!$A320))-SEARCH(";",'Special Help Table'!$A320)-2),AND(LEN('Special Help Table'!$A320)-LEN(SUBSTITUTE('Special Help Table'!$A320,"and ",""))=0,LEN('Special Help Table'!$A320)-LEN(SUBSTITUTE('Special Help Table'!$A320,";",""))=0),'Special Help Table'!$A320,AND(LEN('Special Help Table'!$A320)-LEN(SUBSTITUTE('Special Help Table'!$A320,",","")=1),LEN('Special Help Table'!$A320)-LEN(SUBSTITUTE('Special Help Table'!$A320," ","")=20),LEN('Special Help Table'!$A320)-LEN(SUBSTITUTE('Special Help Table'!$A320," and",""))=0,LEN('Special Help Table'!$A320)-LEN(SUBSTITUTE('Special Help Table'!$A320,",","",FIND(" ",'Special Help Table'!$A320)+1))=0),RIGHT('Special Help Table'!$A320,LEN('Special Help Table'!$A320)-FIND(", ",'Special Help Table'!$A320))&amp;" "&amp;LEFT('Special Help Table'!$A320,FIND(",",'Special Help Table'!$A320)-1),AND(LEN('Special Help Table'!$A320)-LEN(SUBSTITUTE('Special Help Table'!$A320,"editor",""))=6,LEN('Special Help Table'!$A320)-LEN(SUBSTITUTE('Special Help Table'!$A320,"(",""))=0,LEN('Special Help Table'!$A320)-LEN(SUBSTITUTE('Special Help Table'!$A320,"and",""))=3,LEN('Special Help Table'!$A320)-LEN(SUBSTITUTE('Special Help Table'!$A320,",",""))=1,LEN('Special Help Table'!$A320)-LEN(SUBSTITUTE('Special Help Table'!$A320," ",""))=3),'Special Help Table'!$A320)</f>
        <v xml:space="preserve"> Donnalynn Hess Hess</v>
      </c>
      <c r="C320" s="4" t="s">
        <v>646</v>
      </c>
      <c r="D320" s="2"/>
      <c r="E320" s="2" t="s">
        <v>16</v>
      </c>
      <c r="F320" s="2" t="s">
        <v>72</v>
      </c>
      <c r="G320" s="2"/>
      <c r="H320" s="2"/>
      <c r="I320" s="2"/>
      <c r="J320" s="2"/>
      <c r="K320" s="3">
        <v>41041</v>
      </c>
      <c r="L320" s="2"/>
      <c r="M320" s="2"/>
      <c r="N320" s="2" t="s">
        <v>18</v>
      </c>
    </row>
    <row r="321" spans="1:14" ht="15.75" customHeight="1" x14ac:dyDescent="0.35">
      <c r="A321" s="2" t="s">
        <v>647</v>
      </c>
      <c r="B321" s="2" t="str" cm="1">
        <f t="array" ref="B321">_xlfn.IFS(AND(LEN('Special Help Table'!$A321)-(LEN(SUBSTITUTE('Special Help Table'!$A321,";","")))=0,LEN('Special Help Table'!$A321)-LEN(SUBSTITUTE('Special Help Table'!$A321,",",""))=1,LEN('Special Help Table'!$A321)-LEN(SUBSTITUTE('Special Help Table'!$A321,"and ",""))=0),MID('Special Help Table'!$A321&amp;" "&amp;'Special Help Table'!$A321,SEARCH(", ",'Special Help Table'!$A321)+1,LEN('Special Help Table'!$A321)),AND(LEN('Special Help Table'!$A321)-(LEN(SUBSTITUTE('Special Help Table'!$A321,";","")))=1,LEN('Special Help Table'!$A321)-LEN(SUBSTITUTE('Special Help Table'!$A321,"and ",""))=0),MID('Special Help Table'!$A321,SEARCH(",",'Special Help Table'!$A321)+1,(SEARCH(";",'Special Help Table'!$A321)-1)-SEARCH(",",'Special Help Table'!$A321))&amp;" "&amp;LEFT('Special Help Table'!$A321,SEARCH(",",'Special Help Table'!$A321)-1)&amp;";"&amp;RIGHT('Special Help Table'!$A321,LEN('Special Help Table'!$A321)-SEARCH(",",'Special Help Table'!$A321,SEARCH(";",'Special Help Table'!$A321)))&amp;" "&amp;MID('Special Help Table'!$A321,SEARCH("; ",'Special Help Table'!$A321)+2,SEARCH(",",'Special Help Table'!$A321,SEARCH(";",'Special Help Table'!$A321))-SEARCH(";",'Special Help Table'!$A321)-2),AND(LEN('Special Help Table'!$A321)-LEN(SUBSTITUTE('Special Help Table'!$A321,"and ",""))=0,LEN('Special Help Table'!$A321)-LEN(SUBSTITUTE('Special Help Table'!$A321,";",""))=0),'Special Help Table'!$A321,AND(LEN('Special Help Table'!$A321)-LEN(SUBSTITUTE('Special Help Table'!$A321,",","")=1),LEN('Special Help Table'!$A321)-LEN(SUBSTITUTE('Special Help Table'!$A321," ","")=20),LEN('Special Help Table'!$A321)-LEN(SUBSTITUTE('Special Help Table'!$A321," and",""))=0,LEN('Special Help Table'!$A321)-LEN(SUBSTITUTE('Special Help Table'!$A321,",","",FIND(" ",'Special Help Table'!$A321)+1))=0),RIGHT('Special Help Table'!$A321,LEN('Special Help Table'!$A321)-FIND(", ",'Special Help Table'!$A321))&amp;" "&amp;LEFT('Special Help Table'!$A321,FIND(",",'Special Help Table'!$A321)-1),AND(LEN('Special Help Table'!$A321)-LEN(SUBSTITUTE('Special Help Table'!$A321,"editor",""))=6,LEN('Special Help Table'!$A321)-LEN(SUBSTITUTE('Special Help Table'!$A321,"(",""))=0,LEN('Special Help Table'!$A321)-LEN(SUBSTITUTE('Special Help Table'!$A321,"and",""))=3,LEN('Special Help Table'!$A321)-LEN(SUBSTITUTE('Special Help Table'!$A321,",",""))=1,LEN('Special Help Table'!$A321)-LEN(SUBSTITUTE('Special Help Table'!$A321," ",""))=3),'Special Help Table'!$A321)</f>
        <v xml:space="preserve"> Pierce Taylor Hibbs</v>
      </c>
      <c r="C321" s="4" t="s">
        <v>648</v>
      </c>
      <c r="D321" s="2"/>
      <c r="E321" s="2" t="s">
        <v>16</v>
      </c>
      <c r="F321" s="2" t="s">
        <v>36</v>
      </c>
      <c r="G321" s="2"/>
      <c r="H321" s="2"/>
      <c r="I321" s="2"/>
      <c r="J321" s="2" t="s">
        <v>188</v>
      </c>
      <c r="K321" s="3">
        <v>44772</v>
      </c>
      <c r="L321" s="2"/>
      <c r="M321" s="2"/>
      <c r="N321" s="2" t="s">
        <v>18</v>
      </c>
    </row>
    <row r="322" spans="1:14" ht="15.75" customHeight="1" x14ac:dyDescent="0.35">
      <c r="A322" s="2" t="s">
        <v>649</v>
      </c>
      <c r="B322" s="2" t="str" cm="1">
        <f t="array" ref="B322">_xlfn.IFS(AND(LEN('Special Help Table'!$A322)-(LEN(SUBSTITUTE('Special Help Table'!$A322,";","")))=0,LEN('Special Help Table'!$A322)-LEN(SUBSTITUTE('Special Help Table'!$A322,",",""))=1,LEN('Special Help Table'!$A322)-LEN(SUBSTITUTE('Special Help Table'!$A322,"and ",""))=0),MID('Special Help Table'!$A322&amp;" "&amp;'Special Help Table'!$A322,SEARCH(", ",'Special Help Table'!$A322)+1,LEN('Special Help Table'!$A322)),AND(LEN('Special Help Table'!$A322)-(LEN(SUBSTITUTE('Special Help Table'!$A322,";","")))=1,LEN('Special Help Table'!$A322)-LEN(SUBSTITUTE('Special Help Table'!$A322,"and ",""))=0),MID('Special Help Table'!$A322,SEARCH(",",'Special Help Table'!$A322)+1,(SEARCH(";",'Special Help Table'!$A322)-1)-SEARCH(",",'Special Help Table'!$A322))&amp;" "&amp;LEFT('Special Help Table'!$A322,SEARCH(",",'Special Help Table'!$A322)-1)&amp;";"&amp;RIGHT('Special Help Table'!$A322,LEN('Special Help Table'!$A322)-SEARCH(",",'Special Help Table'!$A322,SEARCH(";",'Special Help Table'!$A322)))&amp;" "&amp;MID('Special Help Table'!$A322,SEARCH("; ",'Special Help Table'!$A322)+2,SEARCH(",",'Special Help Table'!$A322,SEARCH(";",'Special Help Table'!$A322))-SEARCH(";",'Special Help Table'!$A322)-2),AND(LEN('Special Help Table'!$A322)-LEN(SUBSTITUTE('Special Help Table'!$A322,"and ",""))=0,LEN('Special Help Table'!$A322)-LEN(SUBSTITUTE('Special Help Table'!$A322,";",""))=0),'Special Help Table'!$A322,AND(LEN('Special Help Table'!$A322)-LEN(SUBSTITUTE('Special Help Table'!$A322,",","")=1),LEN('Special Help Table'!$A322)-LEN(SUBSTITUTE('Special Help Table'!$A322," ","")=20),LEN('Special Help Table'!$A322)-LEN(SUBSTITUTE('Special Help Table'!$A322," and",""))=0,LEN('Special Help Table'!$A322)-LEN(SUBSTITUTE('Special Help Table'!$A322,",","",FIND(" ",'Special Help Table'!$A322)+1))=0),RIGHT('Special Help Table'!$A322,LEN('Special Help Table'!$A322)-FIND(", ",'Special Help Table'!$A322))&amp;" "&amp;LEFT('Special Help Table'!$A322,FIND(",",'Special Help Table'!$A322)-1),AND(LEN('Special Help Table'!$A322)-LEN(SUBSTITUTE('Special Help Table'!$A322,"editor",""))=6,LEN('Special Help Table'!$A322)-LEN(SUBSTITUTE('Special Help Table'!$A322,"(",""))=0,LEN('Special Help Table'!$A322)-LEN(SUBSTITUTE('Special Help Table'!$A322,"and",""))=3,LEN('Special Help Table'!$A322)-LEN(SUBSTITUTE('Special Help Table'!$A322,",",""))=1,LEN('Special Help Table'!$A322)-LEN(SUBSTITUTE('Special Help Table'!$A322," ",""))=3),'Special Help Table'!$A322)</f>
        <v xml:space="preserve"> Megan Hill</v>
      </c>
      <c r="C322" s="4" t="s">
        <v>650</v>
      </c>
      <c r="D322" s="2"/>
      <c r="E322" s="2" t="s">
        <v>16</v>
      </c>
      <c r="F322" s="2" t="s">
        <v>17</v>
      </c>
      <c r="G322" s="2"/>
      <c r="H322" s="2" t="s">
        <v>401</v>
      </c>
      <c r="I322" s="2"/>
      <c r="J322" s="2"/>
      <c r="K322" s="3"/>
      <c r="L322" s="2"/>
      <c r="M322" s="2"/>
      <c r="N322" s="2" t="s">
        <v>18</v>
      </c>
    </row>
    <row r="323" spans="1:14" ht="15.75" customHeight="1" x14ac:dyDescent="0.35">
      <c r="A323" s="2" t="s">
        <v>651</v>
      </c>
      <c r="B323" s="2" t="str" cm="1">
        <f t="array" ref="B323">_xlfn.IFS(AND(LEN('Special Help Table'!$A323)-(LEN(SUBSTITUTE('Special Help Table'!$A323,";","")))=0,LEN('Special Help Table'!$A323)-LEN(SUBSTITUTE('Special Help Table'!$A323,",",""))=1,LEN('Special Help Table'!$A323)-LEN(SUBSTITUTE('Special Help Table'!$A323,"and ",""))=0),MID('Special Help Table'!$A323&amp;" "&amp;'Special Help Table'!$A323,SEARCH(", ",'Special Help Table'!$A323)+1,LEN('Special Help Table'!$A323)),AND(LEN('Special Help Table'!$A323)-(LEN(SUBSTITUTE('Special Help Table'!$A323,";","")))=1,LEN('Special Help Table'!$A323)-LEN(SUBSTITUTE('Special Help Table'!$A323,"and ",""))=0),MID('Special Help Table'!$A323,SEARCH(",",'Special Help Table'!$A323)+1,(SEARCH(";",'Special Help Table'!$A323)-1)-SEARCH(",",'Special Help Table'!$A323))&amp;" "&amp;LEFT('Special Help Table'!$A323,SEARCH(",",'Special Help Table'!$A323)-1)&amp;";"&amp;RIGHT('Special Help Table'!$A323,LEN('Special Help Table'!$A323)-SEARCH(",",'Special Help Table'!$A323,SEARCH(";",'Special Help Table'!$A323)))&amp;" "&amp;MID('Special Help Table'!$A323,SEARCH("; ",'Special Help Table'!$A323)+2,SEARCH(",",'Special Help Table'!$A323,SEARCH(";",'Special Help Table'!$A323))-SEARCH(";",'Special Help Table'!$A323)-2),AND(LEN('Special Help Table'!$A323)-LEN(SUBSTITUTE('Special Help Table'!$A323,"and ",""))=0,LEN('Special Help Table'!$A323)-LEN(SUBSTITUTE('Special Help Table'!$A323,";",""))=0),'Special Help Table'!$A323,AND(LEN('Special Help Table'!$A323)-LEN(SUBSTITUTE('Special Help Table'!$A323,",","")=1),LEN('Special Help Table'!$A323)-LEN(SUBSTITUTE('Special Help Table'!$A323," ","")=20),LEN('Special Help Table'!$A323)-LEN(SUBSTITUTE('Special Help Table'!$A323," and",""))=0,LEN('Special Help Table'!$A323)-LEN(SUBSTITUTE('Special Help Table'!$A323,",","",FIND(" ",'Special Help Table'!$A323)+1))=0),RIGHT('Special Help Table'!$A323,LEN('Special Help Table'!$A323)-FIND(", ",'Special Help Table'!$A323))&amp;" "&amp;LEFT('Special Help Table'!$A323,FIND(",",'Special Help Table'!$A323)-1),AND(LEN('Special Help Table'!$A323)-LEN(SUBSTITUTE('Special Help Table'!$A323,"editor",""))=6,LEN('Special Help Table'!$A323)-LEN(SUBSTITUTE('Special Help Table'!$A323,"(",""))=0,LEN('Special Help Table'!$A323)-LEN(SUBSTITUTE('Special Help Table'!$A323,"and",""))=3,LEN('Special Help Table'!$A323)-LEN(SUBSTITUTE('Special Help Table'!$A323,",",""))=1,LEN('Special Help Table'!$A323)-LEN(SUBSTITUTE('Special Help Table'!$A323," ",""))=3),'Special Help Table'!$A323)</f>
        <v xml:space="preserve"> Steve Hoppe</v>
      </c>
      <c r="C323" s="4" t="s">
        <v>652</v>
      </c>
      <c r="D323" s="2"/>
      <c r="E323" s="2" t="s">
        <v>471</v>
      </c>
      <c r="F323" s="2" t="s">
        <v>36</v>
      </c>
      <c r="G323" s="2"/>
      <c r="H323" s="2"/>
      <c r="I323" s="2"/>
      <c r="J323" s="2"/>
      <c r="K323" s="3">
        <v>43100</v>
      </c>
      <c r="L323" s="2"/>
      <c r="M323" s="2"/>
      <c r="N323" s="2" t="s">
        <v>18</v>
      </c>
    </row>
    <row r="324" spans="1:14" ht="15.75" customHeight="1" x14ac:dyDescent="0.35">
      <c r="A324" s="2" t="s">
        <v>653</v>
      </c>
      <c r="B324" s="2" t="str" cm="1">
        <f t="array" ref="B324">_xlfn.IFS(AND(LEN('Special Help Table'!$A324)-(LEN(SUBSTITUTE('Special Help Table'!$A324,";","")))=0,LEN('Special Help Table'!$A324)-LEN(SUBSTITUTE('Special Help Table'!$A324,",",""))=1,LEN('Special Help Table'!$A324)-LEN(SUBSTITUTE('Special Help Table'!$A324,"and ",""))=0),MID('Special Help Table'!$A324&amp;" "&amp;'Special Help Table'!$A324,SEARCH(", ",'Special Help Table'!$A324)+1,LEN('Special Help Table'!$A324)),AND(LEN('Special Help Table'!$A324)-(LEN(SUBSTITUTE('Special Help Table'!$A324,";","")))=1,LEN('Special Help Table'!$A324)-LEN(SUBSTITUTE('Special Help Table'!$A324,"and ",""))=0),MID('Special Help Table'!$A324,SEARCH(",",'Special Help Table'!$A324)+1,(SEARCH(";",'Special Help Table'!$A324)-1)-SEARCH(",",'Special Help Table'!$A324))&amp;" "&amp;LEFT('Special Help Table'!$A324,SEARCH(",",'Special Help Table'!$A324)-1)&amp;";"&amp;RIGHT('Special Help Table'!$A324,LEN('Special Help Table'!$A324)-SEARCH(",",'Special Help Table'!$A324,SEARCH(";",'Special Help Table'!$A324)))&amp;" "&amp;MID('Special Help Table'!$A324,SEARCH("; ",'Special Help Table'!$A324)+2,SEARCH(",",'Special Help Table'!$A324,SEARCH(";",'Special Help Table'!$A324))-SEARCH(";",'Special Help Table'!$A324)-2),AND(LEN('Special Help Table'!$A324)-LEN(SUBSTITUTE('Special Help Table'!$A324,"and ",""))=0,LEN('Special Help Table'!$A324)-LEN(SUBSTITUTE('Special Help Table'!$A324,";",""))=0),'Special Help Table'!$A324,AND(LEN('Special Help Table'!$A324)-LEN(SUBSTITUTE('Special Help Table'!$A324,",","")=1),LEN('Special Help Table'!$A324)-LEN(SUBSTITUTE('Special Help Table'!$A324," ","")=20),LEN('Special Help Table'!$A324)-LEN(SUBSTITUTE('Special Help Table'!$A324," and",""))=0,LEN('Special Help Table'!$A324)-LEN(SUBSTITUTE('Special Help Table'!$A324,",","",FIND(" ",'Special Help Table'!$A324)+1))=0),RIGHT('Special Help Table'!$A324,LEN('Special Help Table'!$A324)-FIND(", ",'Special Help Table'!$A324))&amp;" "&amp;LEFT('Special Help Table'!$A324,FIND(",",'Special Help Table'!$A324)-1),AND(LEN('Special Help Table'!$A324)-LEN(SUBSTITUTE('Special Help Table'!$A324,"editor",""))=6,LEN('Special Help Table'!$A324)-LEN(SUBSTITUTE('Special Help Table'!$A324,"(",""))=0,LEN('Special Help Table'!$A324)-LEN(SUBSTITUTE('Special Help Table'!$A324,"and",""))=3,LEN('Special Help Table'!$A324)-LEN(SUBSTITUTE('Special Help Table'!$A324,",",""))=1,LEN('Special Help Table'!$A324)-LEN(SUBSTITUTE('Special Help Table'!$A324," ",""))=3),'Special Help Table'!$A324)</f>
        <v xml:space="preserve"> Rick Horne</v>
      </c>
      <c r="C324" s="4" t="s">
        <v>654</v>
      </c>
      <c r="D324" s="2"/>
      <c r="E324" s="2" t="s">
        <v>16</v>
      </c>
      <c r="F324" s="2" t="s">
        <v>17</v>
      </c>
      <c r="G324" s="2"/>
      <c r="H324" s="2"/>
      <c r="I324" s="2"/>
      <c r="J324" s="2" t="s">
        <v>655</v>
      </c>
      <c r="K324" s="3">
        <v>40756</v>
      </c>
      <c r="L324" s="2"/>
      <c r="M324" s="2"/>
      <c r="N324" s="2" t="s">
        <v>18</v>
      </c>
    </row>
    <row r="325" spans="1:14" ht="15.75" customHeight="1" x14ac:dyDescent="0.35">
      <c r="A325" s="2" t="s">
        <v>656</v>
      </c>
      <c r="B325" s="2" t="str" cm="1">
        <f t="array" ref="B325">_xlfn.IFS(AND(LEN('Special Help Table'!$A325)-(LEN(SUBSTITUTE('Special Help Table'!$A325,";","")))=0,LEN('Special Help Table'!$A325)-LEN(SUBSTITUTE('Special Help Table'!$A325,",",""))=1,LEN('Special Help Table'!$A325)-LEN(SUBSTITUTE('Special Help Table'!$A325,"and ",""))=0),MID('Special Help Table'!$A325&amp;" "&amp;'Special Help Table'!$A325,SEARCH(", ",'Special Help Table'!$A325)+1,LEN('Special Help Table'!$A325)),AND(LEN('Special Help Table'!$A325)-(LEN(SUBSTITUTE('Special Help Table'!$A325,";","")))=1,LEN('Special Help Table'!$A325)-LEN(SUBSTITUTE('Special Help Table'!$A325,"and ",""))=0),MID('Special Help Table'!$A325,SEARCH(",",'Special Help Table'!$A325)+1,(SEARCH(";",'Special Help Table'!$A325)-1)-SEARCH(",",'Special Help Table'!$A325))&amp;" "&amp;LEFT('Special Help Table'!$A325,SEARCH(",",'Special Help Table'!$A325)-1)&amp;";"&amp;RIGHT('Special Help Table'!$A325,LEN('Special Help Table'!$A325)-SEARCH(",",'Special Help Table'!$A325,SEARCH(";",'Special Help Table'!$A325)))&amp;" "&amp;MID('Special Help Table'!$A325,SEARCH("; ",'Special Help Table'!$A325)+2,SEARCH(",",'Special Help Table'!$A325,SEARCH(";",'Special Help Table'!$A325))-SEARCH(";",'Special Help Table'!$A325)-2),AND(LEN('Special Help Table'!$A325)-LEN(SUBSTITUTE('Special Help Table'!$A325,"and ",""))=0,LEN('Special Help Table'!$A325)-LEN(SUBSTITUTE('Special Help Table'!$A325,";",""))=0),'Special Help Table'!$A325,AND(LEN('Special Help Table'!$A325)-LEN(SUBSTITUTE('Special Help Table'!$A325,",","")=1),LEN('Special Help Table'!$A325)-LEN(SUBSTITUTE('Special Help Table'!$A325," ","")=20),LEN('Special Help Table'!$A325)-LEN(SUBSTITUTE('Special Help Table'!$A325," and",""))=0,LEN('Special Help Table'!$A325)-LEN(SUBSTITUTE('Special Help Table'!$A325,",","",FIND(" ",'Special Help Table'!$A325)+1))=0),RIGHT('Special Help Table'!$A325,LEN('Special Help Table'!$A325)-FIND(", ",'Special Help Table'!$A325))&amp;" "&amp;LEFT('Special Help Table'!$A325,FIND(",",'Special Help Table'!$A325)-1),AND(LEN('Special Help Table'!$A325)-LEN(SUBSTITUTE('Special Help Table'!$A325,"editor",""))=6,LEN('Special Help Table'!$A325)-LEN(SUBSTITUTE('Special Help Table'!$A325,"(",""))=0,LEN('Special Help Table'!$A325)-LEN(SUBSTITUTE('Special Help Table'!$A325,"and",""))=3,LEN('Special Help Table'!$A325)-LEN(SUBSTITUTE('Special Help Table'!$A325,",",""))=1,LEN('Special Help Table'!$A325)-LEN(SUBSTITUTE('Special Help Table'!$A325," ",""))=3),'Special Help Table'!$A325)</f>
        <v xml:space="preserve"> Krista Horning</v>
      </c>
      <c r="C325" s="4" t="s">
        <v>657</v>
      </c>
      <c r="D325" s="2"/>
      <c r="E325" s="2" t="s">
        <v>16</v>
      </c>
      <c r="F325" s="2" t="s">
        <v>72</v>
      </c>
      <c r="G325" s="2"/>
      <c r="H325" s="2"/>
      <c r="I325" s="2"/>
      <c r="J325" s="2"/>
      <c r="K325" s="3">
        <v>41011</v>
      </c>
      <c r="L325" s="2"/>
      <c r="M325" s="2"/>
      <c r="N325" s="2" t="s">
        <v>18</v>
      </c>
    </row>
    <row r="326" spans="1:14" ht="15.75" customHeight="1" x14ac:dyDescent="0.35">
      <c r="A326" s="2" t="s">
        <v>658</v>
      </c>
      <c r="B326" s="2" t="str" cm="1">
        <f t="array" ref="B326">_xlfn.IFS(AND(LEN('Special Help Table'!$A326)-(LEN(SUBSTITUTE('Special Help Table'!$A326,";","")))=0,LEN('Special Help Table'!$A326)-LEN(SUBSTITUTE('Special Help Table'!$A326,",",""))=1,LEN('Special Help Table'!$A326)-LEN(SUBSTITUTE('Special Help Table'!$A326,"and ",""))=0),MID('Special Help Table'!$A326&amp;" "&amp;'Special Help Table'!$A326,SEARCH(", ",'Special Help Table'!$A326)+1,LEN('Special Help Table'!$A326)),AND(LEN('Special Help Table'!$A326)-(LEN(SUBSTITUTE('Special Help Table'!$A326,";","")))=1,LEN('Special Help Table'!$A326)-LEN(SUBSTITUTE('Special Help Table'!$A326,"and ",""))=0),MID('Special Help Table'!$A326,SEARCH(",",'Special Help Table'!$A326)+1,(SEARCH(";",'Special Help Table'!$A326)-1)-SEARCH(",",'Special Help Table'!$A326))&amp;" "&amp;LEFT('Special Help Table'!$A326,SEARCH(",",'Special Help Table'!$A326)-1)&amp;";"&amp;RIGHT('Special Help Table'!$A326,LEN('Special Help Table'!$A326)-SEARCH(",",'Special Help Table'!$A326,SEARCH(";",'Special Help Table'!$A326)))&amp;" "&amp;MID('Special Help Table'!$A326,SEARCH("; ",'Special Help Table'!$A326)+2,SEARCH(",",'Special Help Table'!$A326,SEARCH(";",'Special Help Table'!$A326))-SEARCH(";",'Special Help Table'!$A326)-2),AND(LEN('Special Help Table'!$A326)-LEN(SUBSTITUTE('Special Help Table'!$A326,"and ",""))=0,LEN('Special Help Table'!$A326)-LEN(SUBSTITUTE('Special Help Table'!$A326,";",""))=0),'Special Help Table'!$A326,AND(LEN('Special Help Table'!$A326)-LEN(SUBSTITUTE('Special Help Table'!$A326,",","")=1),LEN('Special Help Table'!$A326)-LEN(SUBSTITUTE('Special Help Table'!$A326," ","")=20),LEN('Special Help Table'!$A326)-LEN(SUBSTITUTE('Special Help Table'!$A326," and",""))=0,LEN('Special Help Table'!$A326)-LEN(SUBSTITUTE('Special Help Table'!$A326,",","",FIND(" ",'Special Help Table'!$A326)+1))=0),RIGHT('Special Help Table'!$A326,LEN('Special Help Table'!$A326)-FIND(", ",'Special Help Table'!$A326))&amp;" "&amp;LEFT('Special Help Table'!$A326,FIND(",",'Special Help Table'!$A326)-1),AND(LEN('Special Help Table'!$A326)-LEN(SUBSTITUTE('Special Help Table'!$A326,"editor",""))=6,LEN('Special Help Table'!$A326)-LEN(SUBSTITUTE('Special Help Table'!$A326,"(",""))=0,LEN('Special Help Table'!$A326)-LEN(SUBSTITUTE('Special Help Table'!$A326,"and",""))=3,LEN('Special Help Table'!$A326)-LEN(SUBSTITUTE('Special Help Table'!$A326,",",""))=1,LEN('Special Help Table'!$A326)-LEN(SUBSTITUTE('Special Help Table'!$A326," ",""))=3),'Special Help Table'!$A326)</f>
        <v xml:space="preserve"> Michael Horton</v>
      </c>
      <c r="C326" s="4" t="s">
        <v>659</v>
      </c>
      <c r="D326" s="2"/>
      <c r="E326" s="2" t="s">
        <v>16</v>
      </c>
      <c r="F326" s="2" t="s">
        <v>36</v>
      </c>
      <c r="G326" s="2"/>
      <c r="H326" s="2"/>
      <c r="I326" s="2"/>
      <c r="J326" s="2" t="s">
        <v>449</v>
      </c>
      <c r="K326" s="3">
        <v>40188</v>
      </c>
      <c r="L326" s="2"/>
      <c r="M326" s="2"/>
      <c r="N326" s="2" t="s">
        <v>18</v>
      </c>
    </row>
    <row r="327" spans="1:14" ht="15.75" customHeight="1" x14ac:dyDescent="0.35">
      <c r="A327" s="2" t="s">
        <v>658</v>
      </c>
      <c r="B327" s="2" t="str" cm="1">
        <f t="array" ref="B327">_xlfn.IFS(AND(LEN('Special Help Table'!$A327)-(LEN(SUBSTITUTE('Special Help Table'!$A327,";","")))=0,LEN('Special Help Table'!$A327)-LEN(SUBSTITUTE('Special Help Table'!$A327,",",""))=1,LEN('Special Help Table'!$A327)-LEN(SUBSTITUTE('Special Help Table'!$A327,"and ",""))=0),MID('Special Help Table'!$A327&amp;" "&amp;'Special Help Table'!$A327,SEARCH(", ",'Special Help Table'!$A327)+1,LEN('Special Help Table'!$A327)),AND(LEN('Special Help Table'!$A327)-(LEN(SUBSTITUTE('Special Help Table'!$A327,";","")))=1,LEN('Special Help Table'!$A327)-LEN(SUBSTITUTE('Special Help Table'!$A327,"and ",""))=0),MID('Special Help Table'!$A327,SEARCH(",",'Special Help Table'!$A327)+1,(SEARCH(";",'Special Help Table'!$A327)-1)-SEARCH(",",'Special Help Table'!$A327))&amp;" "&amp;LEFT('Special Help Table'!$A327,SEARCH(",",'Special Help Table'!$A327)-1)&amp;";"&amp;RIGHT('Special Help Table'!$A327,LEN('Special Help Table'!$A327)-SEARCH(",",'Special Help Table'!$A327,SEARCH(";",'Special Help Table'!$A327)))&amp;" "&amp;MID('Special Help Table'!$A327,SEARCH("; ",'Special Help Table'!$A327)+2,SEARCH(",",'Special Help Table'!$A327,SEARCH(";",'Special Help Table'!$A327))-SEARCH(";",'Special Help Table'!$A327)-2),AND(LEN('Special Help Table'!$A327)-LEN(SUBSTITUTE('Special Help Table'!$A327,"and ",""))=0,LEN('Special Help Table'!$A327)-LEN(SUBSTITUTE('Special Help Table'!$A327,";",""))=0),'Special Help Table'!$A327,AND(LEN('Special Help Table'!$A327)-LEN(SUBSTITUTE('Special Help Table'!$A327,",","")=1),LEN('Special Help Table'!$A327)-LEN(SUBSTITUTE('Special Help Table'!$A327," ","")=20),LEN('Special Help Table'!$A327)-LEN(SUBSTITUTE('Special Help Table'!$A327," and",""))=0,LEN('Special Help Table'!$A327)-LEN(SUBSTITUTE('Special Help Table'!$A327,",","",FIND(" ",'Special Help Table'!$A327)+1))=0),RIGHT('Special Help Table'!$A327,LEN('Special Help Table'!$A327)-FIND(", ",'Special Help Table'!$A327))&amp;" "&amp;LEFT('Special Help Table'!$A327,FIND(",",'Special Help Table'!$A327)-1),AND(LEN('Special Help Table'!$A327)-LEN(SUBSTITUTE('Special Help Table'!$A327,"editor",""))=6,LEN('Special Help Table'!$A327)-LEN(SUBSTITUTE('Special Help Table'!$A327,"(",""))=0,LEN('Special Help Table'!$A327)-LEN(SUBSTITUTE('Special Help Table'!$A327,"and",""))=3,LEN('Special Help Table'!$A327)-LEN(SUBSTITUTE('Special Help Table'!$A327,",",""))=1,LEN('Special Help Table'!$A327)-LEN(SUBSTITUTE('Special Help Table'!$A327," ",""))=3),'Special Help Table'!$A327)</f>
        <v xml:space="preserve"> Michael Horton</v>
      </c>
      <c r="C327" s="4" t="s">
        <v>660</v>
      </c>
      <c r="D327" s="2"/>
      <c r="E327" s="2" t="s">
        <v>16</v>
      </c>
      <c r="F327" s="2" t="s">
        <v>126</v>
      </c>
      <c r="G327" s="2"/>
      <c r="H327" s="2"/>
      <c r="I327" s="2"/>
      <c r="J327" s="2"/>
      <c r="K327" s="3">
        <v>40247</v>
      </c>
      <c r="L327" s="2" t="s">
        <v>331</v>
      </c>
      <c r="M327" s="2"/>
      <c r="N327" s="2" t="s">
        <v>18</v>
      </c>
    </row>
    <row r="328" spans="1:14" ht="15.75" customHeight="1" x14ac:dyDescent="0.35">
      <c r="A328" s="2" t="s">
        <v>661</v>
      </c>
      <c r="B328" s="2" t="str" cm="1">
        <f t="array" ref="B328">_xlfn.IFS(AND(LEN('Special Help Table'!$A328)-(LEN(SUBSTITUTE('Special Help Table'!$A328,";","")))=0,LEN('Special Help Table'!$A328)-LEN(SUBSTITUTE('Special Help Table'!$A328,",",""))=1,LEN('Special Help Table'!$A328)-LEN(SUBSTITUTE('Special Help Table'!$A328,"and ",""))=0),MID('Special Help Table'!$A328&amp;" "&amp;'Special Help Table'!$A328,SEARCH(", ",'Special Help Table'!$A328)+1,LEN('Special Help Table'!$A328)),AND(LEN('Special Help Table'!$A328)-(LEN(SUBSTITUTE('Special Help Table'!$A328,";","")))=1,LEN('Special Help Table'!$A328)-LEN(SUBSTITUTE('Special Help Table'!$A328,"and ",""))=0),MID('Special Help Table'!$A328,SEARCH(",",'Special Help Table'!$A328)+1,(SEARCH(";",'Special Help Table'!$A328)-1)-SEARCH(",",'Special Help Table'!$A328))&amp;" "&amp;LEFT('Special Help Table'!$A328,SEARCH(",",'Special Help Table'!$A328)-1)&amp;";"&amp;RIGHT('Special Help Table'!$A328,LEN('Special Help Table'!$A328)-SEARCH(",",'Special Help Table'!$A328,SEARCH(";",'Special Help Table'!$A328)))&amp;" "&amp;MID('Special Help Table'!$A328,SEARCH("; ",'Special Help Table'!$A328)+2,SEARCH(",",'Special Help Table'!$A328,SEARCH(";",'Special Help Table'!$A328))-SEARCH(";",'Special Help Table'!$A328)-2),AND(LEN('Special Help Table'!$A328)-LEN(SUBSTITUTE('Special Help Table'!$A328,"and ",""))=0,LEN('Special Help Table'!$A328)-LEN(SUBSTITUTE('Special Help Table'!$A328,";",""))=0),'Special Help Table'!$A328,AND(LEN('Special Help Table'!$A328)-LEN(SUBSTITUTE('Special Help Table'!$A328,",","")=1),LEN('Special Help Table'!$A328)-LEN(SUBSTITUTE('Special Help Table'!$A328," ","")=20),LEN('Special Help Table'!$A328)-LEN(SUBSTITUTE('Special Help Table'!$A328," and",""))=0,LEN('Special Help Table'!$A328)-LEN(SUBSTITUTE('Special Help Table'!$A328,",","",FIND(" ",'Special Help Table'!$A328)+1))=0),RIGHT('Special Help Table'!$A328,LEN('Special Help Table'!$A328)-FIND(", ",'Special Help Table'!$A328))&amp;" "&amp;LEFT('Special Help Table'!$A328,FIND(",",'Special Help Table'!$A328)-1),AND(LEN('Special Help Table'!$A328)-LEN(SUBSTITUTE('Special Help Table'!$A328,"editor",""))=6,LEN('Special Help Table'!$A328)-LEN(SUBSTITUTE('Special Help Table'!$A328,"(",""))=0,LEN('Special Help Table'!$A328)-LEN(SUBSTITUTE('Special Help Table'!$A328,"and",""))=3,LEN('Special Help Table'!$A328)-LEN(SUBSTITUTE('Special Help Table'!$A328,",",""))=1,LEN('Special Help Table'!$A328)-LEN(SUBSTITUTE('Special Help Table'!$A328," ",""))=3),'Special Help Table'!$A328)</f>
        <v xml:space="preserve"> Betsy Childs Howard</v>
      </c>
      <c r="C328" s="4" t="s">
        <v>662</v>
      </c>
      <c r="D328" s="2"/>
      <c r="E328" s="2" t="s">
        <v>16</v>
      </c>
      <c r="F328" s="2" t="s">
        <v>72</v>
      </c>
      <c r="G328" s="2"/>
      <c r="H328" s="2"/>
      <c r="I328" s="2"/>
      <c r="J328" s="2"/>
      <c r="K328" s="3">
        <v>44044</v>
      </c>
      <c r="L328" s="2"/>
      <c r="M328" s="2"/>
      <c r="N328" s="2" t="s">
        <v>18</v>
      </c>
    </row>
    <row r="329" spans="1:14" ht="15.75" customHeight="1" x14ac:dyDescent="0.35">
      <c r="A329" s="2" t="s">
        <v>663</v>
      </c>
      <c r="B329" s="2" t="str" cm="1">
        <f t="array" ref="B329">_xlfn.IFS(AND(LEN('Special Help Table'!$A329)-(LEN(SUBSTITUTE('Special Help Table'!$A329,";","")))=0,LEN('Special Help Table'!$A329)-LEN(SUBSTITUTE('Special Help Table'!$A329,",",""))=1,LEN('Special Help Table'!$A329)-LEN(SUBSTITUTE('Special Help Table'!$A329,"and ",""))=0),MID('Special Help Table'!$A329&amp;" "&amp;'Special Help Table'!$A329,SEARCH(", ",'Special Help Table'!$A329)+1,LEN('Special Help Table'!$A329)),AND(LEN('Special Help Table'!$A329)-(LEN(SUBSTITUTE('Special Help Table'!$A329,";","")))=1,LEN('Special Help Table'!$A329)-LEN(SUBSTITUTE('Special Help Table'!$A329,"and ",""))=0),MID('Special Help Table'!$A329,SEARCH(",",'Special Help Table'!$A329)+1,(SEARCH(";",'Special Help Table'!$A329)-1)-SEARCH(",",'Special Help Table'!$A329))&amp;" "&amp;LEFT('Special Help Table'!$A329,SEARCH(",",'Special Help Table'!$A329)-1)&amp;";"&amp;RIGHT('Special Help Table'!$A329,LEN('Special Help Table'!$A329)-SEARCH(",",'Special Help Table'!$A329,SEARCH(";",'Special Help Table'!$A329)))&amp;" "&amp;MID('Special Help Table'!$A329,SEARCH("; ",'Special Help Table'!$A329)+2,SEARCH(",",'Special Help Table'!$A329,SEARCH(";",'Special Help Table'!$A329))-SEARCH(";",'Special Help Table'!$A329)-2),AND(LEN('Special Help Table'!$A329)-LEN(SUBSTITUTE('Special Help Table'!$A329,"and ",""))=0,LEN('Special Help Table'!$A329)-LEN(SUBSTITUTE('Special Help Table'!$A329,";",""))=0),'Special Help Table'!$A329,AND(LEN('Special Help Table'!$A329)-LEN(SUBSTITUTE('Special Help Table'!$A329,",","")=1),LEN('Special Help Table'!$A329)-LEN(SUBSTITUTE('Special Help Table'!$A329," ","")=20),LEN('Special Help Table'!$A329)-LEN(SUBSTITUTE('Special Help Table'!$A329," and",""))=0,LEN('Special Help Table'!$A329)-LEN(SUBSTITUTE('Special Help Table'!$A329,",","",FIND(" ",'Special Help Table'!$A329)+1))=0),RIGHT('Special Help Table'!$A329,LEN('Special Help Table'!$A329)-FIND(", ",'Special Help Table'!$A329))&amp;" "&amp;LEFT('Special Help Table'!$A329,FIND(",",'Special Help Table'!$A329)-1),AND(LEN('Special Help Table'!$A329)-LEN(SUBSTITUTE('Special Help Table'!$A329,"editor",""))=6,LEN('Special Help Table'!$A329)-LEN(SUBSTITUTE('Special Help Table'!$A329,"(",""))=0,LEN('Special Help Table'!$A329)-LEN(SUBSTITUTE('Special Help Table'!$A329,"and",""))=3,LEN('Special Help Table'!$A329)-LEN(SUBSTITUTE('Special Help Table'!$A329,",",""))=1,LEN('Special Help Table'!$A329)-LEN(SUBSTITUTE('Special Help Table'!$A329," ",""))=3),'Special Help Table'!$A329)</f>
        <v xml:space="preserve"> Irene Howat</v>
      </c>
      <c r="C329" s="4" t="s">
        <v>664</v>
      </c>
      <c r="D329" s="2" t="s">
        <v>136</v>
      </c>
      <c r="E329" s="2" t="s">
        <v>16</v>
      </c>
      <c r="F329" s="2" t="s">
        <v>72</v>
      </c>
      <c r="G329" s="2"/>
      <c r="H329" s="2"/>
      <c r="I329" s="2"/>
      <c r="J329" s="2"/>
      <c r="K329" s="3">
        <v>41804</v>
      </c>
      <c r="L329" s="2"/>
      <c r="M329" s="2"/>
      <c r="N329" s="2" t="s">
        <v>18</v>
      </c>
    </row>
    <row r="330" spans="1:14" ht="15.75" customHeight="1" x14ac:dyDescent="0.35">
      <c r="A330" s="2" t="s">
        <v>665</v>
      </c>
      <c r="B330" s="2" t="str" cm="1">
        <f t="array" ref="B330">_xlfn.IFS(AND(LEN('Special Help Table'!$A330)-(LEN(SUBSTITUTE('Special Help Table'!$A330,";","")))=0,LEN('Special Help Table'!$A330)-LEN(SUBSTITUTE('Special Help Table'!$A330,",",""))=1,LEN('Special Help Table'!$A330)-LEN(SUBSTITUTE('Special Help Table'!$A330,"and ",""))=0),MID('Special Help Table'!$A330&amp;" "&amp;'Special Help Table'!$A330,SEARCH(", ",'Special Help Table'!$A330)+1,LEN('Special Help Table'!$A330)),AND(LEN('Special Help Table'!$A330)-(LEN(SUBSTITUTE('Special Help Table'!$A330,";","")))=1,LEN('Special Help Table'!$A330)-LEN(SUBSTITUTE('Special Help Table'!$A330,"and ",""))=0),MID('Special Help Table'!$A330,SEARCH(",",'Special Help Table'!$A330)+1,(SEARCH(";",'Special Help Table'!$A330)-1)-SEARCH(",",'Special Help Table'!$A330))&amp;" "&amp;LEFT('Special Help Table'!$A330,SEARCH(",",'Special Help Table'!$A330)-1)&amp;";"&amp;RIGHT('Special Help Table'!$A330,LEN('Special Help Table'!$A330)-SEARCH(",",'Special Help Table'!$A330,SEARCH(";",'Special Help Table'!$A330)))&amp;" "&amp;MID('Special Help Table'!$A330,SEARCH("; ",'Special Help Table'!$A330)+2,SEARCH(",",'Special Help Table'!$A330,SEARCH(";",'Special Help Table'!$A330))-SEARCH(";",'Special Help Table'!$A330)-2),AND(LEN('Special Help Table'!$A330)-LEN(SUBSTITUTE('Special Help Table'!$A330,"and ",""))=0,LEN('Special Help Table'!$A330)-LEN(SUBSTITUTE('Special Help Table'!$A330,";",""))=0),'Special Help Table'!$A330,AND(LEN('Special Help Table'!$A330)-LEN(SUBSTITUTE('Special Help Table'!$A330,",","")=1),LEN('Special Help Table'!$A330)-LEN(SUBSTITUTE('Special Help Table'!$A330," ","")=20),LEN('Special Help Table'!$A330)-LEN(SUBSTITUTE('Special Help Table'!$A330," and",""))=0,LEN('Special Help Table'!$A330)-LEN(SUBSTITUTE('Special Help Table'!$A330,",","",FIND(" ",'Special Help Table'!$A330)+1))=0),RIGHT('Special Help Table'!$A330,LEN('Special Help Table'!$A330)-FIND(", ",'Special Help Table'!$A330))&amp;" "&amp;LEFT('Special Help Table'!$A330,FIND(",",'Special Help Table'!$A330)-1),AND(LEN('Special Help Table'!$A330)-LEN(SUBSTITUTE('Special Help Table'!$A330,"editor",""))=6,LEN('Special Help Table'!$A330)-LEN(SUBSTITUTE('Special Help Table'!$A330,"(",""))=0,LEN('Special Help Table'!$A330)-LEN(SUBSTITUTE('Special Help Table'!$A330,"and",""))=3,LEN('Special Help Table'!$A330)-LEN(SUBSTITUTE('Special Help Table'!$A330,",",""))=1,LEN('Special Help Table'!$A330)-LEN(SUBSTITUTE('Special Help Table'!$A330," ",""))=3),'Special Help Table'!$A330)</f>
        <v xml:space="preserve"> Stephanie O. Hubach</v>
      </c>
      <c r="C330" s="4" t="s">
        <v>666</v>
      </c>
      <c r="D330" s="2"/>
      <c r="E330" s="2" t="s">
        <v>16</v>
      </c>
      <c r="F330" s="2" t="s">
        <v>17</v>
      </c>
      <c r="G330" s="2"/>
      <c r="H330" s="2"/>
      <c r="I330" s="2"/>
      <c r="J330" s="2" t="s">
        <v>667</v>
      </c>
      <c r="K330" s="3">
        <v>43832</v>
      </c>
      <c r="L330" s="2"/>
      <c r="M330" s="2"/>
      <c r="N330" s="2" t="s">
        <v>18</v>
      </c>
    </row>
    <row r="331" spans="1:14" ht="15.75" customHeight="1" x14ac:dyDescent="0.35">
      <c r="A331" s="2" t="s">
        <v>668</v>
      </c>
      <c r="B331" s="2" t="str" cm="1">
        <f t="array" ref="B331">_xlfn.IFS(AND(LEN('Special Help Table'!$A331)-(LEN(SUBSTITUTE('Special Help Table'!$A331,";","")))=0,LEN('Special Help Table'!$A331)-LEN(SUBSTITUTE('Special Help Table'!$A331,",",""))=1,LEN('Special Help Table'!$A331)-LEN(SUBSTITUTE('Special Help Table'!$A331,"and ",""))=0),MID('Special Help Table'!$A331&amp;" "&amp;'Special Help Table'!$A331,SEARCH(", ",'Special Help Table'!$A331)+1,LEN('Special Help Table'!$A331)),AND(LEN('Special Help Table'!$A331)-(LEN(SUBSTITUTE('Special Help Table'!$A331,";","")))=1,LEN('Special Help Table'!$A331)-LEN(SUBSTITUTE('Special Help Table'!$A331,"and ",""))=0),MID('Special Help Table'!$A331,SEARCH(",",'Special Help Table'!$A331)+1,(SEARCH(";",'Special Help Table'!$A331)-1)-SEARCH(",",'Special Help Table'!$A331))&amp;" "&amp;LEFT('Special Help Table'!$A331,SEARCH(",",'Special Help Table'!$A331)-1)&amp;";"&amp;RIGHT('Special Help Table'!$A331,LEN('Special Help Table'!$A331)-SEARCH(",",'Special Help Table'!$A331,SEARCH(";",'Special Help Table'!$A331)))&amp;" "&amp;MID('Special Help Table'!$A331,SEARCH("; ",'Special Help Table'!$A331)+2,SEARCH(",",'Special Help Table'!$A331,SEARCH(";",'Special Help Table'!$A331))-SEARCH(";",'Special Help Table'!$A331)-2),AND(LEN('Special Help Table'!$A331)-LEN(SUBSTITUTE('Special Help Table'!$A331,"and ",""))=0,LEN('Special Help Table'!$A331)-LEN(SUBSTITUTE('Special Help Table'!$A331,";",""))=0),'Special Help Table'!$A331,AND(LEN('Special Help Table'!$A331)-LEN(SUBSTITUTE('Special Help Table'!$A331,",","")=1),LEN('Special Help Table'!$A331)-LEN(SUBSTITUTE('Special Help Table'!$A331," ","")=20),LEN('Special Help Table'!$A331)-LEN(SUBSTITUTE('Special Help Table'!$A331," and",""))=0,LEN('Special Help Table'!$A331)-LEN(SUBSTITUTE('Special Help Table'!$A331,",","",FIND(" ",'Special Help Table'!$A331)+1))=0),RIGHT('Special Help Table'!$A331,LEN('Special Help Table'!$A331)-FIND(", ",'Special Help Table'!$A331))&amp;" "&amp;LEFT('Special Help Table'!$A331,FIND(",",'Special Help Table'!$A331)-1),AND(LEN('Special Help Table'!$A331)-LEN(SUBSTITUTE('Special Help Table'!$A331,"editor",""))=6,LEN('Special Help Table'!$A331)-LEN(SUBSTITUTE('Special Help Table'!$A331,"(",""))=0,LEN('Special Help Table'!$A331)-LEN(SUBSTITUTE('Special Help Table'!$A331,"and",""))=3,LEN('Special Help Table'!$A331)-LEN(SUBSTITUTE('Special Help Table'!$A331,",",""))=1,LEN('Special Help Table'!$A331)-LEN(SUBSTITUTE('Special Help Table'!$A331," ",""))=3),'Special Help Table'!$A331)</f>
        <v xml:space="preserve"> R. Kent &amp; W. Carey Huges</v>
      </c>
      <c r="C331" s="4" t="s">
        <v>669</v>
      </c>
      <c r="D331" s="2"/>
      <c r="E331" s="2" t="s">
        <v>16</v>
      </c>
      <c r="F331" s="2" t="s">
        <v>72</v>
      </c>
      <c r="G331" s="2"/>
      <c r="H331" s="2"/>
      <c r="I331" s="2"/>
      <c r="J331" s="2"/>
      <c r="K331" s="3">
        <v>41011</v>
      </c>
      <c r="L331" s="2"/>
      <c r="M331" s="2"/>
      <c r="N331" s="2" t="s">
        <v>18</v>
      </c>
    </row>
    <row r="332" spans="1:14" ht="15.75" customHeight="1" x14ac:dyDescent="0.35">
      <c r="A332" s="2" t="s">
        <v>670</v>
      </c>
      <c r="B332" s="2" t="str" cm="1">
        <f t="array" ref="B332">_xlfn.IFS(AND(LEN('Special Help Table'!$A332)-(LEN(SUBSTITUTE('Special Help Table'!$A332,";","")))=0,LEN('Special Help Table'!$A332)-LEN(SUBSTITUTE('Special Help Table'!$A332,",",""))=1,LEN('Special Help Table'!$A332)-LEN(SUBSTITUTE('Special Help Table'!$A332,"and ",""))=0),MID('Special Help Table'!$A332&amp;" "&amp;'Special Help Table'!$A332,SEARCH(", ",'Special Help Table'!$A332)+1,LEN('Special Help Table'!$A332)),AND(LEN('Special Help Table'!$A332)-(LEN(SUBSTITUTE('Special Help Table'!$A332,";","")))=1,LEN('Special Help Table'!$A332)-LEN(SUBSTITUTE('Special Help Table'!$A332,"and ",""))=0),MID('Special Help Table'!$A332,SEARCH(",",'Special Help Table'!$A332)+1,(SEARCH(";",'Special Help Table'!$A332)-1)-SEARCH(",",'Special Help Table'!$A332))&amp;" "&amp;LEFT('Special Help Table'!$A332,SEARCH(",",'Special Help Table'!$A332)-1)&amp;";"&amp;RIGHT('Special Help Table'!$A332,LEN('Special Help Table'!$A332)-SEARCH(",",'Special Help Table'!$A332,SEARCH(";",'Special Help Table'!$A332)))&amp;" "&amp;MID('Special Help Table'!$A332,SEARCH("; ",'Special Help Table'!$A332)+2,SEARCH(",",'Special Help Table'!$A332,SEARCH(";",'Special Help Table'!$A332))-SEARCH(";",'Special Help Table'!$A332)-2),AND(LEN('Special Help Table'!$A332)-LEN(SUBSTITUTE('Special Help Table'!$A332,"and ",""))=0,LEN('Special Help Table'!$A332)-LEN(SUBSTITUTE('Special Help Table'!$A332,";",""))=0),'Special Help Table'!$A332,AND(LEN('Special Help Table'!$A332)-LEN(SUBSTITUTE('Special Help Table'!$A332,",","")=1),LEN('Special Help Table'!$A332)-LEN(SUBSTITUTE('Special Help Table'!$A332," ","")=20),LEN('Special Help Table'!$A332)-LEN(SUBSTITUTE('Special Help Table'!$A332," and",""))=0,LEN('Special Help Table'!$A332)-LEN(SUBSTITUTE('Special Help Table'!$A332,",","",FIND(" ",'Special Help Table'!$A332)+1))=0),RIGHT('Special Help Table'!$A332,LEN('Special Help Table'!$A332)-FIND(", ",'Special Help Table'!$A332))&amp;" "&amp;LEFT('Special Help Table'!$A332,FIND(",",'Special Help Table'!$A332)-1),AND(LEN('Special Help Table'!$A332)-LEN(SUBSTITUTE('Special Help Table'!$A332,"editor",""))=6,LEN('Special Help Table'!$A332)-LEN(SUBSTITUTE('Special Help Table'!$A332,"(",""))=0,LEN('Special Help Table'!$A332)-LEN(SUBSTITUTE('Special Help Table'!$A332,"and",""))=3,LEN('Special Help Table'!$A332)-LEN(SUBSTITUTE('Special Help Table'!$A332,",",""))=1,LEN('Special Help Table'!$A332)-LEN(SUBSTITUTE('Special Help Table'!$A332," ",""))=3),'Special Help Table'!$A332)</f>
        <v xml:space="preserve"> Sharon James</v>
      </c>
      <c r="C332" s="4" t="s">
        <v>671</v>
      </c>
      <c r="D332" s="2"/>
      <c r="E332" s="2" t="s">
        <v>16</v>
      </c>
      <c r="F332" s="2" t="s">
        <v>39</v>
      </c>
      <c r="G332" s="2"/>
      <c r="H332" s="2"/>
      <c r="I332" s="2"/>
      <c r="J332" s="2"/>
      <c r="K332" s="3">
        <v>40039</v>
      </c>
      <c r="L332" s="2"/>
      <c r="M332" s="2"/>
      <c r="N332" s="2" t="s">
        <v>18</v>
      </c>
    </row>
    <row r="333" spans="1:14" ht="15.75" customHeight="1" x14ac:dyDescent="0.35">
      <c r="A333" s="2" t="s">
        <v>670</v>
      </c>
      <c r="B333" s="2" t="str" cm="1">
        <f t="array" ref="B333">_xlfn.IFS(AND(LEN('Special Help Table'!$A333)-(LEN(SUBSTITUTE('Special Help Table'!$A333,";","")))=0,LEN('Special Help Table'!$A333)-LEN(SUBSTITUTE('Special Help Table'!$A333,",",""))=1,LEN('Special Help Table'!$A333)-LEN(SUBSTITUTE('Special Help Table'!$A333,"and ",""))=0),MID('Special Help Table'!$A333&amp;" "&amp;'Special Help Table'!$A333,SEARCH(", ",'Special Help Table'!$A333)+1,LEN('Special Help Table'!$A333)),AND(LEN('Special Help Table'!$A333)-(LEN(SUBSTITUTE('Special Help Table'!$A333,";","")))=1,LEN('Special Help Table'!$A333)-LEN(SUBSTITUTE('Special Help Table'!$A333,"and ",""))=0),MID('Special Help Table'!$A333,SEARCH(",",'Special Help Table'!$A333)+1,(SEARCH(";",'Special Help Table'!$A333)-1)-SEARCH(",",'Special Help Table'!$A333))&amp;" "&amp;LEFT('Special Help Table'!$A333,SEARCH(",",'Special Help Table'!$A333)-1)&amp;";"&amp;RIGHT('Special Help Table'!$A333,LEN('Special Help Table'!$A333)-SEARCH(",",'Special Help Table'!$A333,SEARCH(";",'Special Help Table'!$A333)))&amp;" "&amp;MID('Special Help Table'!$A333,SEARCH("; ",'Special Help Table'!$A333)+2,SEARCH(",",'Special Help Table'!$A333,SEARCH(";",'Special Help Table'!$A333))-SEARCH(";",'Special Help Table'!$A333)-2),AND(LEN('Special Help Table'!$A333)-LEN(SUBSTITUTE('Special Help Table'!$A333,"and ",""))=0,LEN('Special Help Table'!$A333)-LEN(SUBSTITUTE('Special Help Table'!$A333,";",""))=0),'Special Help Table'!$A333,AND(LEN('Special Help Table'!$A333)-LEN(SUBSTITUTE('Special Help Table'!$A333,",","")=1),LEN('Special Help Table'!$A333)-LEN(SUBSTITUTE('Special Help Table'!$A333," ","")=20),LEN('Special Help Table'!$A333)-LEN(SUBSTITUTE('Special Help Table'!$A333," and",""))=0,LEN('Special Help Table'!$A333)-LEN(SUBSTITUTE('Special Help Table'!$A333,",","",FIND(" ",'Special Help Table'!$A333)+1))=0),RIGHT('Special Help Table'!$A333,LEN('Special Help Table'!$A333)-FIND(", ",'Special Help Table'!$A333))&amp;" "&amp;LEFT('Special Help Table'!$A333,FIND(",",'Special Help Table'!$A333)-1),AND(LEN('Special Help Table'!$A333)-LEN(SUBSTITUTE('Special Help Table'!$A333,"editor",""))=6,LEN('Special Help Table'!$A333)-LEN(SUBSTITUTE('Special Help Table'!$A333,"(",""))=0,LEN('Special Help Table'!$A333)-LEN(SUBSTITUTE('Special Help Table'!$A333,"and",""))=3,LEN('Special Help Table'!$A333)-LEN(SUBSTITUTE('Special Help Table'!$A333,",",""))=1,LEN('Special Help Table'!$A333)-LEN(SUBSTITUTE('Special Help Table'!$A333," ",""))=3),'Special Help Table'!$A333)</f>
        <v xml:space="preserve"> Sharon James</v>
      </c>
      <c r="C333" s="4" t="s">
        <v>672</v>
      </c>
      <c r="D333" s="2"/>
      <c r="E333" s="2" t="s">
        <v>16</v>
      </c>
      <c r="F333" s="2" t="s">
        <v>39</v>
      </c>
      <c r="G333" s="2"/>
      <c r="H333" s="2"/>
      <c r="I333" s="2"/>
      <c r="J333" s="2"/>
      <c r="K333" s="3">
        <v>40040</v>
      </c>
      <c r="L333" s="2"/>
      <c r="M333" s="2"/>
      <c r="N333" s="2" t="s">
        <v>18</v>
      </c>
    </row>
    <row r="334" spans="1:14" ht="15.75" customHeight="1" x14ac:dyDescent="0.35">
      <c r="A334" s="2" t="s">
        <v>670</v>
      </c>
      <c r="B334" s="2" t="str" cm="1">
        <f t="array" ref="B334">_xlfn.IFS(AND(LEN('Special Help Table'!$A334)-(LEN(SUBSTITUTE('Special Help Table'!$A334,";","")))=0,LEN('Special Help Table'!$A334)-LEN(SUBSTITUTE('Special Help Table'!$A334,",",""))=1,LEN('Special Help Table'!$A334)-LEN(SUBSTITUTE('Special Help Table'!$A334,"and ",""))=0),MID('Special Help Table'!$A334&amp;" "&amp;'Special Help Table'!$A334,SEARCH(", ",'Special Help Table'!$A334)+1,LEN('Special Help Table'!$A334)),AND(LEN('Special Help Table'!$A334)-(LEN(SUBSTITUTE('Special Help Table'!$A334,";","")))=1,LEN('Special Help Table'!$A334)-LEN(SUBSTITUTE('Special Help Table'!$A334,"and ",""))=0),MID('Special Help Table'!$A334,SEARCH(",",'Special Help Table'!$A334)+1,(SEARCH(";",'Special Help Table'!$A334)-1)-SEARCH(",",'Special Help Table'!$A334))&amp;" "&amp;LEFT('Special Help Table'!$A334,SEARCH(",",'Special Help Table'!$A334)-1)&amp;";"&amp;RIGHT('Special Help Table'!$A334,LEN('Special Help Table'!$A334)-SEARCH(",",'Special Help Table'!$A334,SEARCH(";",'Special Help Table'!$A334)))&amp;" "&amp;MID('Special Help Table'!$A334,SEARCH("; ",'Special Help Table'!$A334)+2,SEARCH(",",'Special Help Table'!$A334,SEARCH(";",'Special Help Table'!$A334))-SEARCH(";",'Special Help Table'!$A334)-2),AND(LEN('Special Help Table'!$A334)-LEN(SUBSTITUTE('Special Help Table'!$A334,"and ",""))=0,LEN('Special Help Table'!$A334)-LEN(SUBSTITUTE('Special Help Table'!$A334,";",""))=0),'Special Help Table'!$A334,AND(LEN('Special Help Table'!$A334)-LEN(SUBSTITUTE('Special Help Table'!$A334,",","")=1),LEN('Special Help Table'!$A334)-LEN(SUBSTITUTE('Special Help Table'!$A334," ","")=20),LEN('Special Help Table'!$A334)-LEN(SUBSTITUTE('Special Help Table'!$A334," and",""))=0,LEN('Special Help Table'!$A334)-LEN(SUBSTITUTE('Special Help Table'!$A334,",","",FIND(" ",'Special Help Table'!$A334)+1))=0),RIGHT('Special Help Table'!$A334,LEN('Special Help Table'!$A334)-FIND(", ",'Special Help Table'!$A334))&amp;" "&amp;LEFT('Special Help Table'!$A334,FIND(",",'Special Help Table'!$A334)-1),AND(LEN('Special Help Table'!$A334)-LEN(SUBSTITUTE('Special Help Table'!$A334,"editor",""))=6,LEN('Special Help Table'!$A334)-LEN(SUBSTITUTE('Special Help Table'!$A334,"(",""))=0,LEN('Special Help Table'!$A334)-LEN(SUBSTITUTE('Special Help Table'!$A334,"and",""))=3,LEN('Special Help Table'!$A334)-LEN(SUBSTITUTE('Special Help Table'!$A334,",",""))=1,LEN('Special Help Table'!$A334)-LEN(SUBSTITUTE('Special Help Table'!$A334," ",""))=3),'Special Help Table'!$A334)</f>
        <v xml:space="preserve"> Sharon James</v>
      </c>
      <c r="C334" s="4" t="s">
        <v>673</v>
      </c>
      <c r="D334" s="2"/>
      <c r="E334" s="2" t="s">
        <v>16</v>
      </c>
      <c r="F334" s="2" t="s">
        <v>39</v>
      </c>
      <c r="G334" s="2"/>
      <c r="H334" s="2"/>
      <c r="I334" s="2"/>
      <c r="J334" s="2" t="s">
        <v>59</v>
      </c>
      <c r="K334" s="3">
        <v>40041</v>
      </c>
      <c r="L334" s="2"/>
      <c r="M334" s="2"/>
      <c r="N334" s="2" t="s">
        <v>18</v>
      </c>
    </row>
    <row r="335" spans="1:14" ht="15.75" customHeight="1" x14ac:dyDescent="0.35">
      <c r="A335" s="2" t="s">
        <v>674</v>
      </c>
      <c r="B335" s="2" t="str" cm="1">
        <f t="array" ref="B335">_xlfn.IFS(AND(LEN('Special Help Table'!$A335)-(LEN(SUBSTITUTE('Special Help Table'!$A335,";","")))=0,LEN('Special Help Table'!$A335)-LEN(SUBSTITUTE('Special Help Table'!$A335,",",""))=1,LEN('Special Help Table'!$A335)-LEN(SUBSTITUTE('Special Help Table'!$A335,"and ",""))=0),MID('Special Help Table'!$A335&amp;" "&amp;'Special Help Table'!$A335,SEARCH(", ",'Special Help Table'!$A335)+1,LEN('Special Help Table'!$A335)),AND(LEN('Special Help Table'!$A335)-(LEN(SUBSTITUTE('Special Help Table'!$A335,";","")))=1,LEN('Special Help Table'!$A335)-LEN(SUBSTITUTE('Special Help Table'!$A335,"and ",""))=0),MID('Special Help Table'!$A335,SEARCH(",",'Special Help Table'!$A335)+1,(SEARCH(";",'Special Help Table'!$A335)-1)-SEARCH(",",'Special Help Table'!$A335))&amp;" "&amp;LEFT('Special Help Table'!$A335,SEARCH(",",'Special Help Table'!$A335)-1)&amp;";"&amp;RIGHT('Special Help Table'!$A335,LEN('Special Help Table'!$A335)-SEARCH(",",'Special Help Table'!$A335,SEARCH(";",'Special Help Table'!$A335)))&amp;" "&amp;MID('Special Help Table'!$A335,SEARCH("; ",'Special Help Table'!$A335)+2,SEARCH(",",'Special Help Table'!$A335,SEARCH(";",'Special Help Table'!$A335))-SEARCH(";",'Special Help Table'!$A335)-2),AND(LEN('Special Help Table'!$A335)-LEN(SUBSTITUTE('Special Help Table'!$A335,"and ",""))=0,LEN('Special Help Table'!$A335)-LEN(SUBSTITUTE('Special Help Table'!$A335,";",""))=0),'Special Help Table'!$A335,AND(LEN('Special Help Table'!$A335)-LEN(SUBSTITUTE('Special Help Table'!$A335,",","")=1),LEN('Special Help Table'!$A335)-LEN(SUBSTITUTE('Special Help Table'!$A335," ","")=20),LEN('Special Help Table'!$A335)-LEN(SUBSTITUTE('Special Help Table'!$A335," and",""))=0,LEN('Special Help Table'!$A335)-LEN(SUBSTITUTE('Special Help Table'!$A335,",","",FIND(" ",'Special Help Table'!$A335)+1))=0),RIGHT('Special Help Table'!$A335,LEN('Special Help Table'!$A335)-FIND(", ",'Special Help Table'!$A335))&amp;" "&amp;LEFT('Special Help Table'!$A335,FIND(",",'Special Help Table'!$A335)-1),AND(LEN('Special Help Table'!$A335)-LEN(SUBSTITUTE('Special Help Table'!$A335,"editor",""))=6,LEN('Special Help Table'!$A335)-LEN(SUBSTITUTE('Special Help Table'!$A335,"(",""))=0,LEN('Special Help Table'!$A335)-LEN(SUBSTITUTE('Special Help Table'!$A335,"and",""))=3,LEN('Special Help Table'!$A335)-LEN(SUBSTITUTE('Special Help Table'!$A335,",",""))=1,LEN('Special Help Table'!$A335)-LEN(SUBSTITUTE('Special Help Table'!$A335," ",""))=3),'Special Help Table'!$A335)</f>
        <v xml:space="preserve"> Bobby Jamieson</v>
      </c>
      <c r="C335" s="4" t="s">
        <v>675</v>
      </c>
      <c r="D335" s="2" t="s">
        <v>307</v>
      </c>
      <c r="E335" s="2" t="s">
        <v>16</v>
      </c>
      <c r="F335" s="2" t="s">
        <v>33</v>
      </c>
      <c r="G335" s="2"/>
      <c r="H335" s="2"/>
      <c r="I335" s="2" t="s">
        <v>335</v>
      </c>
      <c r="J335" s="2" t="s">
        <v>676</v>
      </c>
      <c r="K335" s="3">
        <v>43211</v>
      </c>
      <c r="L335" s="2"/>
      <c r="M335" s="2"/>
      <c r="N335" s="2" t="s">
        <v>18</v>
      </c>
    </row>
    <row r="336" spans="1:14" ht="15.75" customHeight="1" x14ac:dyDescent="0.35">
      <c r="A336" s="2" t="s">
        <v>674</v>
      </c>
      <c r="B336" s="2" t="str" cm="1">
        <f t="array" ref="B336">_xlfn.IFS(AND(LEN('Special Help Table'!$A336)-(LEN(SUBSTITUTE('Special Help Table'!$A336,";","")))=0,LEN('Special Help Table'!$A336)-LEN(SUBSTITUTE('Special Help Table'!$A336,",",""))=1,LEN('Special Help Table'!$A336)-LEN(SUBSTITUTE('Special Help Table'!$A336,"and ",""))=0),MID('Special Help Table'!$A336&amp;" "&amp;'Special Help Table'!$A336,SEARCH(", ",'Special Help Table'!$A336)+1,LEN('Special Help Table'!$A336)),AND(LEN('Special Help Table'!$A336)-(LEN(SUBSTITUTE('Special Help Table'!$A336,";","")))=1,LEN('Special Help Table'!$A336)-LEN(SUBSTITUTE('Special Help Table'!$A336,"and ",""))=0),MID('Special Help Table'!$A336,SEARCH(",",'Special Help Table'!$A336)+1,(SEARCH(";",'Special Help Table'!$A336)-1)-SEARCH(",",'Special Help Table'!$A336))&amp;" "&amp;LEFT('Special Help Table'!$A336,SEARCH(",",'Special Help Table'!$A336)-1)&amp;";"&amp;RIGHT('Special Help Table'!$A336,LEN('Special Help Table'!$A336)-SEARCH(",",'Special Help Table'!$A336,SEARCH(";",'Special Help Table'!$A336)))&amp;" "&amp;MID('Special Help Table'!$A336,SEARCH("; ",'Special Help Table'!$A336)+2,SEARCH(",",'Special Help Table'!$A336,SEARCH(";",'Special Help Table'!$A336))-SEARCH(";",'Special Help Table'!$A336)-2),AND(LEN('Special Help Table'!$A336)-LEN(SUBSTITUTE('Special Help Table'!$A336,"and ",""))=0,LEN('Special Help Table'!$A336)-LEN(SUBSTITUTE('Special Help Table'!$A336,";",""))=0),'Special Help Table'!$A336,AND(LEN('Special Help Table'!$A336)-LEN(SUBSTITUTE('Special Help Table'!$A336,",","")=1),LEN('Special Help Table'!$A336)-LEN(SUBSTITUTE('Special Help Table'!$A336," ","")=20),LEN('Special Help Table'!$A336)-LEN(SUBSTITUTE('Special Help Table'!$A336," and",""))=0,LEN('Special Help Table'!$A336)-LEN(SUBSTITUTE('Special Help Table'!$A336,",","",FIND(" ",'Special Help Table'!$A336)+1))=0),RIGHT('Special Help Table'!$A336,LEN('Special Help Table'!$A336)-FIND(", ",'Special Help Table'!$A336))&amp;" "&amp;LEFT('Special Help Table'!$A336,FIND(",",'Special Help Table'!$A336)-1),AND(LEN('Special Help Table'!$A336)-LEN(SUBSTITUTE('Special Help Table'!$A336,"editor",""))=6,LEN('Special Help Table'!$A336)-LEN(SUBSTITUTE('Special Help Table'!$A336,"(",""))=0,LEN('Special Help Table'!$A336)-LEN(SUBSTITUTE('Special Help Table'!$A336,"and",""))=3,LEN('Special Help Table'!$A336)-LEN(SUBSTITUTE('Special Help Table'!$A336,",",""))=1,LEN('Special Help Table'!$A336)-LEN(SUBSTITUTE('Special Help Table'!$A336," ",""))=3),'Special Help Table'!$A336)</f>
        <v xml:space="preserve"> Bobby Jamieson</v>
      </c>
      <c r="C336" s="4" t="s">
        <v>677</v>
      </c>
      <c r="D336" s="2" t="s">
        <v>307</v>
      </c>
      <c r="E336" s="2" t="s">
        <v>16</v>
      </c>
      <c r="F336" s="2" t="s">
        <v>33</v>
      </c>
      <c r="G336" s="2"/>
      <c r="H336" s="2" t="s">
        <v>307</v>
      </c>
      <c r="I336" s="2"/>
      <c r="J336" s="2"/>
      <c r="K336" s="3">
        <v>41468</v>
      </c>
      <c r="L336" s="2"/>
      <c r="M336" s="2"/>
      <c r="N336" s="2" t="s">
        <v>18</v>
      </c>
    </row>
    <row r="337" spans="1:14" ht="15.75" customHeight="1" x14ac:dyDescent="0.35">
      <c r="A337" s="2" t="s">
        <v>674</v>
      </c>
      <c r="B337" s="2" t="str" cm="1">
        <f t="array" ref="B337">_xlfn.IFS(AND(LEN('Special Help Table'!$A337)-(LEN(SUBSTITUTE('Special Help Table'!$A337,";","")))=0,LEN('Special Help Table'!$A337)-LEN(SUBSTITUTE('Special Help Table'!$A337,",",""))=1,LEN('Special Help Table'!$A337)-LEN(SUBSTITUTE('Special Help Table'!$A337,"and ",""))=0),MID('Special Help Table'!$A337&amp;" "&amp;'Special Help Table'!$A337,SEARCH(", ",'Special Help Table'!$A337)+1,LEN('Special Help Table'!$A337)),AND(LEN('Special Help Table'!$A337)-(LEN(SUBSTITUTE('Special Help Table'!$A337,";","")))=1,LEN('Special Help Table'!$A337)-LEN(SUBSTITUTE('Special Help Table'!$A337,"and ",""))=0),MID('Special Help Table'!$A337,SEARCH(",",'Special Help Table'!$A337)+1,(SEARCH(";",'Special Help Table'!$A337)-1)-SEARCH(",",'Special Help Table'!$A337))&amp;" "&amp;LEFT('Special Help Table'!$A337,SEARCH(",",'Special Help Table'!$A337)-1)&amp;";"&amp;RIGHT('Special Help Table'!$A337,LEN('Special Help Table'!$A337)-SEARCH(",",'Special Help Table'!$A337,SEARCH(";",'Special Help Table'!$A337)))&amp;" "&amp;MID('Special Help Table'!$A337,SEARCH("; ",'Special Help Table'!$A337)+2,SEARCH(",",'Special Help Table'!$A337,SEARCH(";",'Special Help Table'!$A337))-SEARCH(";",'Special Help Table'!$A337)-2),AND(LEN('Special Help Table'!$A337)-LEN(SUBSTITUTE('Special Help Table'!$A337,"and ",""))=0,LEN('Special Help Table'!$A337)-LEN(SUBSTITUTE('Special Help Table'!$A337,";",""))=0),'Special Help Table'!$A337,AND(LEN('Special Help Table'!$A337)-LEN(SUBSTITUTE('Special Help Table'!$A337,",","")=1),LEN('Special Help Table'!$A337)-LEN(SUBSTITUTE('Special Help Table'!$A337," ","")=20),LEN('Special Help Table'!$A337)-LEN(SUBSTITUTE('Special Help Table'!$A337," and",""))=0,LEN('Special Help Table'!$A337)-LEN(SUBSTITUTE('Special Help Table'!$A337,",","",FIND(" ",'Special Help Table'!$A337)+1))=0),RIGHT('Special Help Table'!$A337,LEN('Special Help Table'!$A337)-FIND(", ",'Special Help Table'!$A337))&amp;" "&amp;LEFT('Special Help Table'!$A337,FIND(",",'Special Help Table'!$A337)-1),AND(LEN('Special Help Table'!$A337)-LEN(SUBSTITUTE('Special Help Table'!$A337,"editor",""))=6,LEN('Special Help Table'!$A337)-LEN(SUBSTITUTE('Special Help Table'!$A337,"(",""))=0,LEN('Special Help Table'!$A337)-LEN(SUBSTITUTE('Special Help Table'!$A337,"and",""))=3,LEN('Special Help Table'!$A337)-LEN(SUBSTITUTE('Special Help Table'!$A337,",",""))=1,LEN('Special Help Table'!$A337)-LEN(SUBSTITUTE('Special Help Table'!$A337," ",""))=3),'Special Help Table'!$A337)</f>
        <v xml:space="preserve"> Bobby Jamieson</v>
      </c>
      <c r="C337" s="4" t="s">
        <v>678</v>
      </c>
      <c r="D337" s="2" t="s">
        <v>363</v>
      </c>
      <c r="E337" s="2" t="s">
        <v>16</v>
      </c>
      <c r="F337" s="2" t="s">
        <v>33</v>
      </c>
      <c r="G337" s="2"/>
      <c r="H337" s="2"/>
      <c r="I337" s="2"/>
      <c r="J337" s="2" t="s">
        <v>679</v>
      </c>
      <c r="K337" s="3">
        <v>43211</v>
      </c>
      <c r="L337" s="2"/>
      <c r="M337" s="2"/>
      <c r="N337" s="2" t="s">
        <v>18</v>
      </c>
    </row>
    <row r="338" spans="1:14" ht="15.75" customHeight="1" x14ac:dyDescent="0.35">
      <c r="A338" s="2" t="s">
        <v>674</v>
      </c>
      <c r="B338" s="2" t="str" cm="1">
        <f t="array" ref="B338">_xlfn.IFS(AND(LEN('Special Help Table'!$A338)-(LEN(SUBSTITUTE('Special Help Table'!$A338,";","")))=0,LEN('Special Help Table'!$A338)-LEN(SUBSTITUTE('Special Help Table'!$A338,",",""))=1,LEN('Special Help Table'!$A338)-LEN(SUBSTITUTE('Special Help Table'!$A338,"and ",""))=0),MID('Special Help Table'!$A338&amp;" "&amp;'Special Help Table'!$A338,SEARCH(", ",'Special Help Table'!$A338)+1,LEN('Special Help Table'!$A338)),AND(LEN('Special Help Table'!$A338)-(LEN(SUBSTITUTE('Special Help Table'!$A338,";","")))=1,LEN('Special Help Table'!$A338)-LEN(SUBSTITUTE('Special Help Table'!$A338,"and ",""))=0),MID('Special Help Table'!$A338,SEARCH(",",'Special Help Table'!$A338)+1,(SEARCH(";",'Special Help Table'!$A338)-1)-SEARCH(",",'Special Help Table'!$A338))&amp;" "&amp;LEFT('Special Help Table'!$A338,SEARCH(",",'Special Help Table'!$A338)-1)&amp;";"&amp;RIGHT('Special Help Table'!$A338,LEN('Special Help Table'!$A338)-SEARCH(",",'Special Help Table'!$A338,SEARCH(";",'Special Help Table'!$A338)))&amp;" "&amp;MID('Special Help Table'!$A338,SEARCH("; ",'Special Help Table'!$A338)+2,SEARCH(",",'Special Help Table'!$A338,SEARCH(";",'Special Help Table'!$A338))-SEARCH(";",'Special Help Table'!$A338)-2),AND(LEN('Special Help Table'!$A338)-LEN(SUBSTITUTE('Special Help Table'!$A338,"and ",""))=0,LEN('Special Help Table'!$A338)-LEN(SUBSTITUTE('Special Help Table'!$A338,";",""))=0),'Special Help Table'!$A338,AND(LEN('Special Help Table'!$A338)-LEN(SUBSTITUTE('Special Help Table'!$A338,",","")=1),LEN('Special Help Table'!$A338)-LEN(SUBSTITUTE('Special Help Table'!$A338," ","")=20),LEN('Special Help Table'!$A338)-LEN(SUBSTITUTE('Special Help Table'!$A338," and",""))=0,LEN('Special Help Table'!$A338)-LEN(SUBSTITUTE('Special Help Table'!$A338,",","",FIND(" ",'Special Help Table'!$A338)+1))=0),RIGHT('Special Help Table'!$A338,LEN('Special Help Table'!$A338)-FIND(", ",'Special Help Table'!$A338))&amp;" "&amp;LEFT('Special Help Table'!$A338,FIND(",",'Special Help Table'!$A338)-1),AND(LEN('Special Help Table'!$A338)-LEN(SUBSTITUTE('Special Help Table'!$A338,"editor",""))=6,LEN('Special Help Table'!$A338)-LEN(SUBSTITUTE('Special Help Table'!$A338,"(",""))=0,LEN('Special Help Table'!$A338)-LEN(SUBSTITUTE('Special Help Table'!$A338,"and",""))=3,LEN('Special Help Table'!$A338)-LEN(SUBSTITUTE('Special Help Table'!$A338,",",""))=1,LEN('Special Help Table'!$A338)-LEN(SUBSTITUTE('Special Help Table'!$A338," ",""))=3),'Special Help Table'!$A338)</f>
        <v xml:space="preserve"> Bobby Jamieson</v>
      </c>
      <c r="C338" s="4" t="s">
        <v>680</v>
      </c>
      <c r="D338" s="2" t="s">
        <v>363</v>
      </c>
      <c r="E338" s="2" t="s">
        <v>16</v>
      </c>
      <c r="F338" s="2" t="s">
        <v>33</v>
      </c>
      <c r="G338" s="2"/>
      <c r="H338" s="2"/>
      <c r="I338" s="2"/>
      <c r="J338" s="2" t="s">
        <v>681</v>
      </c>
      <c r="K338" s="3">
        <v>43211</v>
      </c>
      <c r="L338" s="2"/>
      <c r="M338" s="2"/>
      <c r="N338" s="2" t="s">
        <v>18</v>
      </c>
    </row>
    <row r="339" spans="1:14" ht="15.75" customHeight="1" x14ac:dyDescent="0.35">
      <c r="A339" s="2" t="s">
        <v>682</v>
      </c>
      <c r="B339" s="2" t="str" cm="1">
        <f t="array" ref="B339">_xlfn.IFS(AND(LEN('Special Help Table'!$A339)-(LEN(SUBSTITUTE('Special Help Table'!$A339,";","")))=0,LEN('Special Help Table'!$A339)-LEN(SUBSTITUTE('Special Help Table'!$A339,",",""))=1,LEN('Special Help Table'!$A339)-LEN(SUBSTITUTE('Special Help Table'!$A339,"and ",""))=0),MID('Special Help Table'!$A339&amp;" "&amp;'Special Help Table'!$A339,SEARCH(", ",'Special Help Table'!$A339)+1,LEN('Special Help Table'!$A339)),AND(LEN('Special Help Table'!$A339)-(LEN(SUBSTITUTE('Special Help Table'!$A339,";","")))=1,LEN('Special Help Table'!$A339)-LEN(SUBSTITUTE('Special Help Table'!$A339,"and ",""))=0),MID('Special Help Table'!$A339,SEARCH(",",'Special Help Table'!$A339)+1,(SEARCH(";",'Special Help Table'!$A339)-1)-SEARCH(",",'Special Help Table'!$A339))&amp;" "&amp;LEFT('Special Help Table'!$A339,SEARCH(",",'Special Help Table'!$A339)-1)&amp;";"&amp;RIGHT('Special Help Table'!$A339,LEN('Special Help Table'!$A339)-SEARCH(",",'Special Help Table'!$A339,SEARCH(";",'Special Help Table'!$A339)))&amp;" "&amp;MID('Special Help Table'!$A339,SEARCH("; ",'Special Help Table'!$A339)+2,SEARCH(",",'Special Help Table'!$A339,SEARCH(";",'Special Help Table'!$A339))-SEARCH(";",'Special Help Table'!$A339)-2),AND(LEN('Special Help Table'!$A339)-LEN(SUBSTITUTE('Special Help Table'!$A339,"and ",""))=0,LEN('Special Help Table'!$A339)-LEN(SUBSTITUTE('Special Help Table'!$A339,";",""))=0),'Special Help Table'!$A339,AND(LEN('Special Help Table'!$A339)-LEN(SUBSTITUTE('Special Help Table'!$A339,",","")=1),LEN('Special Help Table'!$A339)-LEN(SUBSTITUTE('Special Help Table'!$A339," ","")=20),LEN('Special Help Table'!$A339)-LEN(SUBSTITUTE('Special Help Table'!$A339," and",""))=0,LEN('Special Help Table'!$A339)-LEN(SUBSTITUTE('Special Help Table'!$A339,",","",FIND(" ",'Special Help Table'!$A339)+1))=0),RIGHT('Special Help Table'!$A339,LEN('Special Help Table'!$A339)-FIND(", ",'Special Help Table'!$A339))&amp;" "&amp;LEFT('Special Help Table'!$A339,FIND(",",'Special Help Table'!$A339)-1),AND(LEN('Special Help Table'!$A339)-LEN(SUBSTITUTE('Special Help Table'!$A339,"editor",""))=6,LEN('Special Help Table'!$A339)-LEN(SUBSTITUTE('Special Help Table'!$A339,"(",""))=0,LEN('Special Help Table'!$A339)-LEN(SUBSTITUTE('Special Help Table'!$A339,"and",""))=3,LEN('Special Help Table'!$A339)-LEN(SUBSTITUTE('Special Help Table'!$A339,",",""))=1,LEN('Special Help Table'!$A339)-LEN(SUBSTITUTE('Special Help Table'!$A339," ",""))=3),'Special Help Table'!$A339)</f>
        <v xml:space="preserve"> Peter Jeffrey</v>
      </c>
      <c r="C339" s="4" t="s">
        <v>683</v>
      </c>
      <c r="D339" s="2"/>
      <c r="E339" s="2" t="s">
        <v>16</v>
      </c>
      <c r="F339" s="2" t="s">
        <v>326</v>
      </c>
      <c r="G339" s="2"/>
      <c r="H339" s="2"/>
      <c r="I339" s="2"/>
      <c r="J339" s="2" t="s">
        <v>77</v>
      </c>
      <c r="K339" s="3">
        <v>40034</v>
      </c>
      <c r="L339" s="2"/>
      <c r="M339" s="2"/>
      <c r="N339" s="2" t="s">
        <v>18</v>
      </c>
    </row>
    <row r="340" spans="1:14" ht="15.75" customHeight="1" x14ac:dyDescent="0.35">
      <c r="A340" s="2" t="s">
        <v>684</v>
      </c>
      <c r="B340" s="2" t="str" cm="1">
        <f t="array" ref="B340">_xlfn.IFS(AND(LEN('Special Help Table'!$A340)-(LEN(SUBSTITUTE('Special Help Table'!$A340,";","")))=0,LEN('Special Help Table'!$A340)-LEN(SUBSTITUTE('Special Help Table'!$A340,",",""))=1,LEN('Special Help Table'!$A340)-LEN(SUBSTITUTE('Special Help Table'!$A340,"and ",""))=0),MID('Special Help Table'!$A340&amp;" "&amp;'Special Help Table'!$A340,SEARCH(", ",'Special Help Table'!$A340)+1,LEN('Special Help Table'!$A340)),AND(LEN('Special Help Table'!$A340)-(LEN(SUBSTITUTE('Special Help Table'!$A340,";","")))=1,LEN('Special Help Table'!$A340)-LEN(SUBSTITUTE('Special Help Table'!$A340,"and ",""))=0),MID('Special Help Table'!$A340,SEARCH(",",'Special Help Table'!$A340)+1,(SEARCH(";",'Special Help Table'!$A340)-1)-SEARCH(",",'Special Help Table'!$A340))&amp;" "&amp;LEFT('Special Help Table'!$A340,SEARCH(",",'Special Help Table'!$A340)-1)&amp;";"&amp;RIGHT('Special Help Table'!$A340,LEN('Special Help Table'!$A340)-SEARCH(",",'Special Help Table'!$A340,SEARCH(";",'Special Help Table'!$A340)))&amp;" "&amp;MID('Special Help Table'!$A340,SEARCH("; ",'Special Help Table'!$A340)+2,SEARCH(",",'Special Help Table'!$A340,SEARCH(";",'Special Help Table'!$A340))-SEARCH(";",'Special Help Table'!$A340)-2),AND(LEN('Special Help Table'!$A340)-LEN(SUBSTITUTE('Special Help Table'!$A340,"and ",""))=0,LEN('Special Help Table'!$A340)-LEN(SUBSTITUTE('Special Help Table'!$A340,";",""))=0),'Special Help Table'!$A340,AND(LEN('Special Help Table'!$A340)-LEN(SUBSTITUTE('Special Help Table'!$A340,",","")=1),LEN('Special Help Table'!$A340)-LEN(SUBSTITUTE('Special Help Table'!$A340," ","")=20),LEN('Special Help Table'!$A340)-LEN(SUBSTITUTE('Special Help Table'!$A340," and",""))=0,LEN('Special Help Table'!$A340)-LEN(SUBSTITUTE('Special Help Table'!$A340,",","",FIND(" ",'Special Help Table'!$A340)+1))=0),RIGHT('Special Help Table'!$A340,LEN('Special Help Table'!$A340)-FIND(", ",'Special Help Table'!$A340))&amp;" "&amp;LEFT('Special Help Table'!$A340,FIND(",",'Special Help Table'!$A340)-1),AND(LEN('Special Help Table'!$A340)-LEN(SUBSTITUTE('Special Help Table'!$A340,"editor",""))=6,LEN('Special Help Table'!$A340)-LEN(SUBSTITUTE('Special Help Table'!$A340,"(",""))=0,LEN('Special Help Table'!$A340)-LEN(SUBSTITUTE('Special Help Table'!$A340,"and",""))=3,LEN('Special Help Table'!$A340)-LEN(SUBSTITUTE('Special Help Table'!$A340,",",""))=1,LEN('Special Help Table'!$A340)-LEN(SUBSTITUTE('Special Help Table'!$A340," ",""))=3),'Special Help Table'!$A340)</f>
        <v xml:space="preserve"> Phillip D Jensen</v>
      </c>
      <c r="C340" s="4" t="s">
        <v>685</v>
      </c>
      <c r="D340" s="2" t="s">
        <v>686</v>
      </c>
      <c r="E340" s="2" t="s">
        <v>16</v>
      </c>
      <c r="F340" s="2" t="s">
        <v>36</v>
      </c>
      <c r="G340" s="2"/>
      <c r="H340" s="2"/>
      <c r="I340" s="2"/>
      <c r="J340" s="2"/>
      <c r="K340" s="3">
        <v>40431</v>
      </c>
      <c r="L340" s="2"/>
      <c r="M340" s="2"/>
      <c r="N340" s="2" t="s">
        <v>18</v>
      </c>
    </row>
    <row r="341" spans="1:14" ht="15.75" customHeight="1" x14ac:dyDescent="0.35">
      <c r="A341" s="2" t="s">
        <v>687</v>
      </c>
      <c r="B341" s="2" t="str" cm="1">
        <f t="array" ref="B341">_xlfn.IFS(AND(LEN('Special Help Table'!$A341)-(LEN(SUBSTITUTE('Special Help Table'!$A341,";","")))=0,LEN('Special Help Table'!$A341)-LEN(SUBSTITUTE('Special Help Table'!$A341,",",""))=1,LEN('Special Help Table'!$A341)-LEN(SUBSTITUTE('Special Help Table'!$A341,"and ",""))=0),MID('Special Help Table'!$A341&amp;" "&amp;'Special Help Table'!$A341,SEARCH(", ",'Special Help Table'!$A341)+1,LEN('Special Help Table'!$A341)),AND(LEN('Special Help Table'!$A341)-(LEN(SUBSTITUTE('Special Help Table'!$A341,";","")))=1,LEN('Special Help Table'!$A341)-LEN(SUBSTITUTE('Special Help Table'!$A341,"and ",""))=0),MID('Special Help Table'!$A341,SEARCH(",",'Special Help Table'!$A341)+1,(SEARCH(";",'Special Help Table'!$A341)-1)-SEARCH(",",'Special Help Table'!$A341))&amp;" "&amp;LEFT('Special Help Table'!$A341,SEARCH(",",'Special Help Table'!$A341)-1)&amp;";"&amp;RIGHT('Special Help Table'!$A341,LEN('Special Help Table'!$A341)-SEARCH(",",'Special Help Table'!$A341,SEARCH(";",'Special Help Table'!$A341)))&amp;" "&amp;MID('Special Help Table'!$A341,SEARCH("; ",'Special Help Table'!$A341)+2,SEARCH(",",'Special Help Table'!$A341,SEARCH(";",'Special Help Table'!$A341))-SEARCH(";",'Special Help Table'!$A341)-2),AND(LEN('Special Help Table'!$A341)-LEN(SUBSTITUTE('Special Help Table'!$A341,"and ",""))=0,LEN('Special Help Table'!$A341)-LEN(SUBSTITUTE('Special Help Table'!$A341,";",""))=0),'Special Help Table'!$A341,AND(LEN('Special Help Table'!$A341)-LEN(SUBSTITUTE('Special Help Table'!$A341,",","")=1),LEN('Special Help Table'!$A341)-LEN(SUBSTITUTE('Special Help Table'!$A341," ","")=20),LEN('Special Help Table'!$A341)-LEN(SUBSTITUTE('Special Help Table'!$A341," and",""))=0,LEN('Special Help Table'!$A341)-LEN(SUBSTITUTE('Special Help Table'!$A341,",","",FIND(" ",'Special Help Table'!$A341)+1))=0),RIGHT('Special Help Table'!$A341,LEN('Special Help Table'!$A341)-FIND(", ",'Special Help Table'!$A341))&amp;" "&amp;LEFT('Special Help Table'!$A341,FIND(",",'Special Help Table'!$A341)-1),AND(LEN('Special Help Table'!$A341)-LEN(SUBSTITUTE('Special Help Table'!$A341,"editor",""))=6,LEN('Special Help Table'!$A341)-LEN(SUBSTITUTE('Special Help Table'!$A341,"(",""))=0,LEN('Special Help Table'!$A341)-LEN(SUBSTITUTE('Special Help Table'!$A341,"and",""))=3,LEN('Special Help Table'!$A341)-LEN(SUBSTITUTE('Special Help Table'!$A341,",",""))=1,LEN('Special Help Table'!$A341)-LEN(SUBSTITUTE('Special Help Table'!$A341," ",""))=3),'Special Help Table'!$A341)</f>
        <v xml:space="preserve"> Dennis E Johnson</v>
      </c>
      <c r="C341" s="4" t="s">
        <v>688</v>
      </c>
      <c r="D341" s="2"/>
      <c r="E341" s="2" t="s">
        <v>16</v>
      </c>
      <c r="F341" s="2" t="s">
        <v>28</v>
      </c>
      <c r="G341" s="2"/>
      <c r="H341" s="2"/>
      <c r="I341" s="2"/>
      <c r="J341" s="2"/>
      <c r="K341" s="3">
        <v>42200</v>
      </c>
      <c r="L341" s="2"/>
      <c r="M341" s="2"/>
      <c r="N341" s="2" t="s">
        <v>18</v>
      </c>
    </row>
    <row r="342" spans="1:14" ht="15.75" customHeight="1" x14ac:dyDescent="0.35">
      <c r="A342" s="2" t="s">
        <v>689</v>
      </c>
      <c r="B342" s="2" t="str" cm="1">
        <f t="array" ref="B342">_xlfn.IFS(AND(LEN('Special Help Table'!$A342)-(LEN(SUBSTITUTE('Special Help Table'!$A342,";","")))=0,LEN('Special Help Table'!$A342)-LEN(SUBSTITUTE('Special Help Table'!$A342,",",""))=1,LEN('Special Help Table'!$A342)-LEN(SUBSTITUTE('Special Help Table'!$A342,"and ",""))=0),MID('Special Help Table'!$A342&amp;" "&amp;'Special Help Table'!$A342,SEARCH(", ",'Special Help Table'!$A342)+1,LEN('Special Help Table'!$A342)),AND(LEN('Special Help Table'!$A342)-(LEN(SUBSTITUTE('Special Help Table'!$A342,";","")))=1,LEN('Special Help Table'!$A342)-LEN(SUBSTITUTE('Special Help Table'!$A342,"and ",""))=0),MID('Special Help Table'!$A342,SEARCH(",",'Special Help Table'!$A342)+1,(SEARCH(";",'Special Help Table'!$A342)-1)-SEARCH(",",'Special Help Table'!$A342))&amp;" "&amp;LEFT('Special Help Table'!$A342,SEARCH(",",'Special Help Table'!$A342)-1)&amp;";"&amp;RIGHT('Special Help Table'!$A342,LEN('Special Help Table'!$A342)-SEARCH(",",'Special Help Table'!$A342,SEARCH(";",'Special Help Table'!$A342)))&amp;" "&amp;MID('Special Help Table'!$A342,SEARCH("; ",'Special Help Table'!$A342)+2,SEARCH(",",'Special Help Table'!$A342,SEARCH(";",'Special Help Table'!$A342))-SEARCH(";",'Special Help Table'!$A342)-2),AND(LEN('Special Help Table'!$A342)-LEN(SUBSTITUTE('Special Help Table'!$A342,"and ",""))=0,LEN('Special Help Table'!$A342)-LEN(SUBSTITUTE('Special Help Table'!$A342,";",""))=0),'Special Help Table'!$A342,AND(LEN('Special Help Table'!$A342)-LEN(SUBSTITUTE('Special Help Table'!$A342,",","")=1),LEN('Special Help Table'!$A342)-LEN(SUBSTITUTE('Special Help Table'!$A342," ","")=20),LEN('Special Help Table'!$A342)-LEN(SUBSTITUTE('Special Help Table'!$A342," and",""))=0,LEN('Special Help Table'!$A342)-LEN(SUBSTITUTE('Special Help Table'!$A342,",","",FIND(" ",'Special Help Table'!$A342)+1))=0),RIGHT('Special Help Table'!$A342,LEN('Special Help Table'!$A342)-FIND(", ",'Special Help Table'!$A342))&amp;" "&amp;LEFT('Special Help Table'!$A342,FIND(",",'Special Help Table'!$A342)-1),AND(LEN('Special Help Table'!$A342)-LEN(SUBSTITUTE('Special Help Table'!$A342,"editor",""))=6,LEN('Special Help Table'!$A342)-LEN(SUBSTITUTE('Special Help Table'!$A342,"(",""))=0,LEN('Special Help Table'!$A342)-LEN(SUBSTITUTE('Special Help Table'!$A342,"and",""))=3,LEN('Special Help Table'!$A342)-LEN(SUBSTITUTE('Special Help Table'!$A342,",",""))=1,LEN('Special Help Table'!$A342)-LEN(SUBSTITUTE('Special Help Table'!$A342," ",""))=3),'Special Help Table'!$A342)</f>
        <v xml:space="preserve"> Andy Johnston</v>
      </c>
      <c r="C342" s="4" t="s">
        <v>690</v>
      </c>
      <c r="D342" s="2"/>
      <c r="E342" s="2" t="s">
        <v>16</v>
      </c>
      <c r="F342" s="2" t="s">
        <v>39</v>
      </c>
      <c r="G342" s="2"/>
      <c r="H342" s="2"/>
      <c r="I342" s="2"/>
      <c r="J342" s="2"/>
      <c r="K342" s="3"/>
      <c r="L342" s="2"/>
      <c r="M342" s="2"/>
      <c r="N342" s="2" t="s">
        <v>18</v>
      </c>
    </row>
    <row r="343" spans="1:14" ht="15.75" customHeight="1" x14ac:dyDescent="0.35">
      <c r="A343" s="2" t="s">
        <v>691</v>
      </c>
      <c r="B343" s="2" t="str" cm="1">
        <f t="array" ref="B343">_xlfn.IFS(AND(LEN('Special Help Table'!$A343)-(LEN(SUBSTITUTE('Special Help Table'!$A343,";","")))=0,LEN('Special Help Table'!$A343)-LEN(SUBSTITUTE('Special Help Table'!$A343,",",""))=1,LEN('Special Help Table'!$A343)-LEN(SUBSTITUTE('Special Help Table'!$A343,"and ",""))=0),MID('Special Help Table'!$A343&amp;" "&amp;'Special Help Table'!$A343,SEARCH(", ",'Special Help Table'!$A343)+1,LEN('Special Help Table'!$A343)),AND(LEN('Special Help Table'!$A343)-(LEN(SUBSTITUTE('Special Help Table'!$A343,";","")))=1,LEN('Special Help Table'!$A343)-LEN(SUBSTITUTE('Special Help Table'!$A343,"and ",""))=0),MID('Special Help Table'!$A343,SEARCH(",",'Special Help Table'!$A343)+1,(SEARCH(";",'Special Help Table'!$A343)-1)-SEARCH(",",'Special Help Table'!$A343))&amp;" "&amp;LEFT('Special Help Table'!$A343,SEARCH(",",'Special Help Table'!$A343)-1)&amp;";"&amp;RIGHT('Special Help Table'!$A343,LEN('Special Help Table'!$A343)-SEARCH(",",'Special Help Table'!$A343,SEARCH(";",'Special Help Table'!$A343)))&amp;" "&amp;MID('Special Help Table'!$A343,SEARCH("; ",'Special Help Table'!$A343)+2,SEARCH(",",'Special Help Table'!$A343,SEARCH(";",'Special Help Table'!$A343))-SEARCH(";",'Special Help Table'!$A343)-2),AND(LEN('Special Help Table'!$A343)-LEN(SUBSTITUTE('Special Help Table'!$A343,"and ",""))=0,LEN('Special Help Table'!$A343)-LEN(SUBSTITUTE('Special Help Table'!$A343,";",""))=0),'Special Help Table'!$A343,AND(LEN('Special Help Table'!$A343)-LEN(SUBSTITUTE('Special Help Table'!$A343,",","")=1),LEN('Special Help Table'!$A343)-LEN(SUBSTITUTE('Special Help Table'!$A343," ","")=20),LEN('Special Help Table'!$A343)-LEN(SUBSTITUTE('Special Help Table'!$A343," and",""))=0,LEN('Special Help Table'!$A343)-LEN(SUBSTITUTE('Special Help Table'!$A343,",","",FIND(" ",'Special Help Table'!$A343)+1))=0),RIGHT('Special Help Table'!$A343,LEN('Special Help Table'!$A343)-FIND(", ",'Special Help Table'!$A343))&amp;" "&amp;LEFT('Special Help Table'!$A343,FIND(",",'Special Help Table'!$A343)-1),AND(LEN('Special Help Table'!$A343)-LEN(SUBSTITUTE('Special Help Table'!$A343,"editor",""))=6,LEN('Special Help Table'!$A343)-LEN(SUBSTITUTE('Special Help Table'!$A343,"(",""))=0,LEN('Special Help Table'!$A343)-LEN(SUBSTITUTE('Special Help Table'!$A343,"and",""))=3,LEN('Special Help Table'!$A343)-LEN(SUBSTITUTE('Special Help Table'!$A343,",",""))=1,LEN('Special Help Table'!$A343)-LEN(SUBSTITUTE('Special Help Table'!$A343," ",""))=3),'Special Help Table'!$A343)</f>
        <v xml:space="preserve"> Mark Jones</v>
      </c>
      <c r="C343" s="4" t="s">
        <v>692</v>
      </c>
      <c r="D343" s="2"/>
      <c r="E343" s="2" t="s">
        <v>16</v>
      </c>
      <c r="F343" s="2" t="s">
        <v>28</v>
      </c>
      <c r="G343" s="2"/>
      <c r="H343" s="2"/>
      <c r="I343" s="2"/>
      <c r="J343" s="2"/>
      <c r="K343" s="3">
        <v>41804</v>
      </c>
      <c r="L343" s="2"/>
      <c r="M343" s="2"/>
      <c r="N343" s="2" t="s">
        <v>18</v>
      </c>
    </row>
    <row r="344" spans="1:14" ht="15.75" customHeight="1" x14ac:dyDescent="0.35">
      <c r="A344" s="2" t="s">
        <v>691</v>
      </c>
      <c r="B344" s="2" t="str" cm="1">
        <f t="array" ref="B344">_xlfn.IFS(AND(LEN('Special Help Table'!$A344)-(LEN(SUBSTITUTE('Special Help Table'!$A344,";","")))=0,LEN('Special Help Table'!$A344)-LEN(SUBSTITUTE('Special Help Table'!$A344,",",""))=1,LEN('Special Help Table'!$A344)-LEN(SUBSTITUTE('Special Help Table'!$A344,"and ",""))=0),MID('Special Help Table'!$A344&amp;" "&amp;'Special Help Table'!$A344,SEARCH(", ",'Special Help Table'!$A344)+1,LEN('Special Help Table'!$A344)),AND(LEN('Special Help Table'!$A344)-(LEN(SUBSTITUTE('Special Help Table'!$A344,";","")))=1,LEN('Special Help Table'!$A344)-LEN(SUBSTITUTE('Special Help Table'!$A344,"and ",""))=0),MID('Special Help Table'!$A344,SEARCH(",",'Special Help Table'!$A344)+1,(SEARCH(";",'Special Help Table'!$A344)-1)-SEARCH(",",'Special Help Table'!$A344))&amp;" "&amp;LEFT('Special Help Table'!$A344,SEARCH(",",'Special Help Table'!$A344)-1)&amp;";"&amp;RIGHT('Special Help Table'!$A344,LEN('Special Help Table'!$A344)-SEARCH(",",'Special Help Table'!$A344,SEARCH(";",'Special Help Table'!$A344)))&amp;" "&amp;MID('Special Help Table'!$A344,SEARCH("; ",'Special Help Table'!$A344)+2,SEARCH(",",'Special Help Table'!$A344,SEARCH(";",'Special Help Table'!$A344))-SEARCH(";",'Special Help Table'!$A344)-2),AND(LEN('Special Help Table'!$A344)-LEN(SUBSTITUTE('Special Help Table'!$A344,"and ",""))=0,LEN('Special Help Table'!$A344)-LEN(SUBSTITUTE('Special Help Table'!$A344,";",""))=0),'Special Help Table'!$A344,AND(LEN('Special Help Table'!$A344)-LEN(SUBSTITUTE('Special Help Table'!$A344,",","")=1),LEN('Special Help Table'!$A344)-LEN(SUBSTITUTE('Special Help Table'!$A344," ","")=20),LEN('Special Help Table'!$A344)-LEN(SUBSTITUTE('Special Help Table'!$A344," and",""))=0,LEN('Special Help Table'!$A344)-LEN(SUBSTITUTE('Special Help Table'!$A344,",","",FIND(" ",'Special Help Table'!$A344)+1))=0),RIGHT('Special Help Table'!$A344,LEN('Special Help Table'!$A344)-FIND(", ",'Special Help Table'!$A344))&amp;" "&amp;LEFT('Special Help Table'!$A344,FIND(",",'Special Help Table'!$A344)-1),AND(LEN('Special Help Table'!$A344)-LEN(SUBSTITUTE('Special Help Table'!$A344,"editor",""))=6,LEN('Special Help Table'!$A344)-LEN(SUBSTITUTE('Special Help Table'!$A344,"(",""))=0,LEN('Special Help Table'!$A344)-LEN(SUBSTITUTE('Special Help Table'!$A344,"and",""))=3,LEN('Special Help Table'!$A344)-LEN(SUBSTITUTE('Special Help Table'!$A344,",",""))=1,LEN('Special Help Table'!$A344)-LEN(SUBSTITUTE('Special Help Table'!$A344," ",""))=3),'Special Help Table'!$A344)</f>
        <v xml:space="preserve"> Mark Jones</v>
      </c>
      <c r="C344" s="4" t="s">
        <v>693</v>
      </c>
      <c r="D344" s="2"/>
      <c r="E344" s="2" t="s">
        <v>16</v>
      </c>
      <c r="F344" s="2" t="s">
        <v>28</v>
      </c>
      <c r="G344" s="2"/>
      <c r="H344" s="2" t="s">
        <v>401</v>
      </c>
      <c r="I344" s="2"/>
      <c r="J344" s="2"/>
      <c r="K344" s="3">
        <v>42966</v>
      </c>
      <c r="L344" s="2"/>
      <c r="M344" s="2"/>
      <c r="N344" s="2" t="s">
        <v>18</v>
      </c>
    </row>
    <row r="345" spans="1:14" ht="15.75" customHeight="1" x14ac:dyDescent="0.35">
      <c r="A345" s="2" t="s">
        <v>691</v>
      </c>
      <c r="B345" s="2" t="str" cm="1">
        <f t="array" ref="B345">_xlfn.IFS(AND(LEN('Special Help Table'!$A345)-(LEN(SUBSTITUTE('Special Help Table'!$A345,";","")))=0,LEN('Special Help Table'!$A345)-LEN(SUBSTITUTE('Special Help Table'!$A345,",",""))=1,LEN('Special Help Table'!$A345)-LEN(SUBSTITUTE('Special Help Table'!$A345,"and ",""))=0),MID('Special Help Table'!$A345&amp;" "&amp;'Special Help Table'!$A345,SEARCH(", ",'Special Help Table'!$A345)+1,LEN('Special Help Table'!$A345)),AND(LEN('Special Help Table'!$A345)-(LEN(SUBSTITUTE('Special Help Table'!$A345,";","")))=1,LEN('Special Help Table'!$A345)-LEN(SUBSTITUTE('Special Help Table'!$A345,"and ",""))=0),MID('Special Help Table'!$A345,SEARCH(",",'Special Help Table'!$A345)+1,(SEARCH(";",'Special Help Table'!$A345)-1)-SEARCH(",",'Special Help Table'!$A345))&amp;" "&amp;LEFT('Special Help Table'!$A345,SEARCH(",",'Special Help Table'!$A345)-1)&amp;";"&amp;RIGHT('Special Help Table'!$A345,LEN('Special Help Table'!$A345)-SEARCH(",",'Special Help Table'!$A345,SEARCH(";",'Special Help Table'!$A345)))&amp;" "&amp;MID('Special Help Table'!$A345,SEARCH("; ",'Special Help Table'!$A345)+2,SEARCH(",",'Special Help Table'!$A345,SEARCH(";",'Special Help Table'!$A345))-SEARCH(";",'Special Help Table'!$A345)-2),AND(LEN('Special Help Table'!$A345)-LEN(SUBSTITUTE('Special Help Table'!$A345,"and ",""))=0,LEN('Special Help Table'!$A345)-LEN(SUBSTITUTE('Special Help Table'!$A345,";",""))=0),'Special Help Table'!$A345,AND(LEN('Special Help Table'!$A345)-LEN(SUBSTITUTE('Special Help Table'!$A345,",","")=1),LEN('Special Help Table'!$A345)-LEN(SUBSTITUTE('Special Help Table'!$A345," ","")=20),LEN('Special Help Table'!$A345)-LEN(SUBSTITUTE('Special Help Table'!$A345," and",""))=0,LEN('Special Help Table'!$A345)-LEN(SUBSTITUTE('Special Help Table'!$A345,",","",FIND(" ",'Special Help Table'!$A345)+1))=0),RIGHT('Special Help Table'!$A345,LEN('Special Help Table'!$A345)-FIND(", ",'Special Help Table'!$A345))&amp;" "&amp;LEFT('Special Help Table'!$A345,FIND(",",'Special Help Table'!$A345)-1),AND(LEN('Special Help Table'!$A345)-LEN(SUBSTITUTE('Special Help Table'!$A345,"editor",""))=6,LEN('Special Help Table'!$A345)-LEN(SUBSTITUTE('Special Help Table'!$A345,"(",""))=0,LEN('Special Help Table'!$A345)-LEN(SUBSTITUTE('Special Help Table'!$A345,"and",""))=3,LEN('Special Help Table'!$A345)-LEN(SUBSTITUTE('Special Help Table'!$A345,",",""))=1,LEN('Special Help Table'!$A345)-LEN(SUBSTITUTE('Special Help Table'!$A345," ",""))=3),'Special Help Table'!$A345)</f>
        <v xml:space="preserve"> Mark Jones</v>
      </c>
      <c r="C345" s="4" t="s">
        <v>694</v>
      </c>
      <c r="D345" s="2"/>
      <c r="E345" s="2" t="s">
        <v>16</v>
      </c>
      <c r="F345" s="2" t="s">
        <v>28</v>
      </c>
      <c r="G345" s="2"/>
      <c r="H345" s="2"/>
      <c r="I345" s="2"/>
      <c r="J345" s="2"/>
      <c r="K345" s="3">
        <v>42353</v>
      </c>
      <c r="L345" s="2"/>
      <c r="M345" s="2"/>
      <c r="N345" s="2" t="s">
        <v>18</v>
      </c>
    </row>
    <row r="346" spans="1:14" ht="15.75" customHeight="1" x14ac:dyDescent="0.35">
      <c r="A346" s="2" t="s">
        <v>691</v>
      </c>
      <c r="B346" s="2" t="str" cm="1">
        <f t="array" ref="B346">_xlfn.IFS(AND(LEN('Special Help Table'!$A346)-(LEN(SUBSTITUTE('Special Help Table'!$A346,";","")))=0,LEN('Special Help Table'!$A346)-LEN(SUBSTITUTE('Special Help Table'!$A346,",",""))=1,LEN('Special Help Table'!$A346)-LEN(SUBSTITUTE('Special Help Table'!$A346,"and ",""))=0),MID('Special Help Table'!$A346&amp;" "&amp;'Special Help Table'!$A346,SEARCH(", ",'Special Help Table'!$A346)+1,LEN('Special Help Table'!$A346)),AND(LEN('Special Help Table'!$A346)-(LEN(SUBSTITUTE('Special Help Table'!$A346,";","")))=1,LEN('Special Help Table'!$A346)-LEN(SUBSTITUTE('Special Help Table'!$A346,"and ",""))=0),MID('Special Help Table'!$A346,SEARCH(",",'Special Help Table'!$A346)+1,(SEARCH(";",'Special Help Table'!$A346)-1)-SEARCH(",",'Special Help Table'!$A346))&amp;" "&amp;LEFT('Special Help Table'!$A346,SEARCH(",",'Special Help Table'!$A346)-1)&amp;";"&amp;RIGHT('Special Help Table'!$A346,LEN('Special Help Table'!$A346)-SEARCH(",",'Special Help Table'!$A346,SEARCH(";",'Special Help Table'!$A346)))&amp;" "&amp;MID('Special Help Table'!$A346,SEARCH("; ",'Special Help Table'!$A346)+2,SEARCH(",",'Special Help Table'!$A346,SEARCH(";",'Special Help Table'!$A346))-SEARCH(";",'Special Help Table'!$A346)-2),AND(LEN('Special Help Table'!$A346)-LEN(SUBSTITUTE('Special Help Table'!$A346,"and ",""))=0,LEN('Special Help Table'!$A346)-LEN(SUBSTITUTE('Special Help Table'!$A346,";",""))=0),'Special Help Table'!$A346,AND(LEN('Special Help Table'!$A346)-LEN(SUBSTITUTE('Special Help Table'!$A346,",","")=1),LEN('Special Help Table'!$A346)-LEN(SUBSTITUTE('Special Help Table'!$A346," ","")=20),LEN('Special Help Table'!$A346)-LEN(SUBSTITUTE('Special Help Table'!$A346," and",""))=0,LEN('Special Help Table'!$A346)-LEN(SUBSTITUTE('Special Help Table'!$A346,",","",FIND(" ",'Special Help Table'!$A346)+1))=0),RIGHT('Special Help Table'!$A346,LEN('Special Help Table'!$A346)-FIND(", ",'Special Help Table'!$A346))&amp;" "&amp;LEFT('Special Help Table'!$A346,FIND(",",'Special Help Table'!$A346)-1),AND(LEN('Special Help Table'!$A346)-LEN(SUBSTITUTE('Special Help Table'!$A346,"editor",""))=6,LEN('Special Help Table'!$A346)-LEN(SUBSTITUTE('Special Help Table'!$A346,"(",""))=0,LEN('Special Help Table'!$A346)-LEN(SUBSTITUTE('Special Help Table'!$A346,"and",""))=3,LEN('Special Help Table'!$A346)-LEN(SUBSTITUTE('Special Help Table'!$A346,",",""))=1,LEN('Special Help Table'!$A346)-LEN(SUBSTITUTE('Special Help Table'!$A346," ",""))=3),'Special Help Table'!$A346)</f>
        <v xml:space="preserve"> Mark Jones</v>
      </c>
      <c r="C346" s="4" t="s">
        <v>695</v>
      </c>
      <c r="D346" s="2"/>
      <c r="E346" s="2" t="s">
        <v>16</v>
      </c>
      <c r="F346" s="2" t="s">
        <v>28</v>
      </c>
      <c r="G346" s="2"/>
      <c r="H346" s="2" t="s">
        <v>82</v>
      </c>
      <c r="I346" s="2"/>
      <c r="J346" s="2" t="s">
        <v>97</v>
      </c>
      <c r="K346" s="3">
        <v>44772</v>
      </c>
      <c r="L346" s="2"/>
      <c r="M346" s="2"/>
      <c r="N346" s="2" t="s">
        <v>18</v>
      </c>
    </row>
    <row r="347" spans="1:14" ht="15.75" customHeight="1" x14ac:dyDescent="0.35">
      <c r="A347" s="2" t="s">
        <v>696</v>
      </c>
      <c r="B347" s="2" t="str" cm="1">
        <f t="array" ref="B347">_xlfn.IFS(AND(LEN('Special Help Table'!$A347)-(LEN(SUBSTITUTE('Special Help Table'!$A347,";","")))=0,LEN('Special Help Table'!$A347)-LEN(SUBSTITUTE('Special Help Table'!$A347,",",""))=1,LEN('Special Help Table'!$A347)-LEN(SUBSTITUTE('Special Help Table'!$A347,"and ",""))=0),MID('Special Help Table'!$A347&amp;" "&amp;'Special Help Table'!$A347,SEARCH(", ",'Special Help Table'!$A347)+1,LEN('Special Help Table'!$A347)),AND(LEN('Special Help Table'!$A347)-(LEN(SUBSTITUTE('Special Help Table'!$A347,";","")))=1,LEN('Special Help Table'!$A347)-LEN(SUBSTITUTE('Special Help Table'!$A347,"and ",""))=0),MID('Special Help Table'!$A347,SEARCH(",",'Special Help Table'!$A347)+1,(SEARCH(";",'Special Help Table'!$A347)-1)-SEARCH(",",'Special Help Table'!$A347))&amp;" "&amp;LEFT('Special Help Table'!$A347,SEARCH(",",'Special Help Table'!$A347)-1)&amp;";"&amp;RIGHT('Special Help Table'!$A347,LEN('Special Help Table'!$A347)-SEARCH(",",'Special Help Table'!$A347,SEARCH(";",'Special Help Table'!$A347)))&amp;" "&amp;MID('Special Help Table'!$A347,SEARCH("; ",'Special Help Table'!$A347)+2,SEARCH(",",'Special Help Table'!$A347,SEARCH(";",'Special Help Table'!$A347))-SEARCH(";",'Special Help Table'!$A347)-2),AND(LEN('Special Help Table'!$A347)-LEN(SUBSTITUTE('Special Help Table'!$A347,"and ",""))=0,LEN('Special Help Table'!$A347)-LEN(SUBSTITUTE('Special Help Table'!$A347,";",""))=0),'Special Help Table'!$A347,AND(LEN('Special Help Table'!$A347)-LEN(SUBSTITUTE('Special Help Table'!$A347,",","")=1),LEN('Special Help Table'!$A347)-LEN(SUBSTITUTE('Special Help Table'!$A347," ","")=20),LEN('Special Help Table'!$A347)-LEN(SUBSTITUTE('Special Help Table'!$A347," and",""))=0,LEN('Special Help Table'!$A347)-LEN(SUBSTITUTE('Special Help Table'!$A347,",","",FIND(" ",'Special Help Table'!$A347)+1))=0),RIGHT('Special Help Table'!$A347,LEN('Special Help Table'!$A347)-FIND(", ",'Special Help Table'!$A347))&amp;" "&amp;LEFT('Special Help Table'!$A347,FIND(",",'Special Help Table'!$A347)-1),AND(LEN('Special Help Table'!$A347)-LEN(SUBSTITUTE('Special Help Table'!$A347,"editor",""))=6,LEN('Special Help Table'!$A347)-LEN(SUBSTITUTE('Special Help Table'!$A347,"(",""))=0,LEN('Special Help Table'!$A347)-LEN(SUBSTITUTE('Special Help Table'!$A347,"and",""))=3,LEN('Special Help Table'!$A347)-LEN(SUBSTITUTE('Special Help Table'!$A347,",",""))=1,LEN('Special Help Table'!$A347)-LEN(SUBSTITUTE('Special Help Table'!$A347," ",""))=3),'Special Help Table'!$A347)</f>
        <v xml:space="preserve"> Rachel Jones</v>
      </c>
      <c r="C347" s="4" t="s">
        <v>697</v>
      </c>
      <c r="D347" s="2"/>
      <c r="E347" s="2" t="s">
        <v>16</v>
      </c>
      <c r="F347" s="2" t="s">
        <v>17</v>
      </c>
      <c r="G347" s="2"/>
      <c r="H347" s="2"/>
      <c r="I347" s="2"/>
      <c r="J347" s="2" t="s">
        <v>698</v>
      </c>
      <c r="K347" s="3">
        <v>44044</v>
      </c>
      <c r="L347" s="2"/>
      <c r="M347" s="2"/>
      <c r="N347" s="2" t="s">
        <v>18</v>
      </c>
    </row>
    <row r="348" spans="1:14" ht="15.75" customHeight="1" x14ac:dyDescent="0.35">
      <c r="A348" s="2" t="s">
        <v>699</v>
      </c>
      <c r="B348" s="2" t="str" cm="1">
        <f t="array" ref="B348">_xlfn.IFS(AND(LEN('Special Help Table'!$A348)-(LEN(SUBSTITUTE('Special Help Table'!$A348,";","")))=0,LEN('Special Help Table'!$A348)-LEN(SUBSTITUTE('Special Help Table'!$A348,",",""))=1,LEN('Special Help Table'!$A348)-LEN(SUBSTITUTE('Special Help Table'!$A348,"and ",""))=0),MID('Special Help Table'!$A348&amp;" "&amp;'Special Help Table'!$A348,SEARCH(", ",'Special Help Table'!$A348)+1,LEN('Special Help Table'!$A348)),AND(LEN('Special Help Table'!$A348)-(LEN(SUBSTITUTE('Special Help Table'!$A348,";","")))=1,LEN('Special Help Table'!$A348)-LEN(SUBSTITUTE('Special Help Table'!$A348,"and ",""))=0),MID('Special Help Table'!$A348,SEARCH(",",'Special Help Table'!$A348)+1,(SEARCH(";",'Special Help Table'!$A348)-1)-SEARCH(",",'Special Help Table'!$A348))&amp;" "&amp;LEFT('Special Help Table'!$A348,SEARCH(",",'Special Help Table'!$A348)-1)&amp;";"&amp;RIGHT('Special Help Table'!$A348,LEN('Special Help Table'!$A348)-SEARCH(",",'Special Help Table'!$A348,SEARCH(";",'Special Help Table'!$A348)))&amp;" "&amp;MID('Special Help Table'!$A348,SEARCH("; ",'Special Help Table'!$A348)+2,SEARCH(",",'Special Help Table'!$A348,SEARCH(";",'Special Help Table'!$A348))-SEARCH(";",'Special Help Table'!$A348)-2),AND(LEN('Special Help Table'!$A348)-LEN(SUBSTITUTE('Special Help Table'!$A348,"and ",""))=0,LEN('Special Help Table'!$A348)-LEN(SUBSTITUTE('Special Help Table'!$A348,";",""))=0),'Special Help Table'!$A348,AND(LEN('Special Help Table'!$A348)-LEN(SUBSTITUTE('Special Help Table'!$A348,",","")=1),LEN('Special Help Table'!$A348)-LEN(SUBSTITUTE('Special Help Table'!$A348," ","")=20),LEN('Special Help Table'!$A348)-LEN(SUBSTITUTE('Special Help Table'!$A348," and",""))=0,LEN('Special Help Table'!$A348)-LEN(SUBSTITUTE('Special Help Table'!$A348,",","",FIND(" ",'Special Help Table'!$A348)+1))=0),RIGHT('Special Help Table'!$A348,LEN('Special Help Table'!$A348)-FIND(", ",'Special Help Table'!$A348))&amp;" "&amp;LEFT('Special Help Table'!$A348,FIND(",",'Special Help Table'!$A348)-1),AND(LEN('Special Help Table'!$A348)-LEN(SUBSTITUTE('Special Help Table'!$A348,"editor",""))=6,LEN('Special Help Table'!$A348)-LEN(SUBSTITUTE('Special Help Table'!$A348,"(",""))=0,LEN('Special Help Table'!$A348)-LEN(SUBSTITUTE('Special Help Table'!$A348,"and",""))=3,LEN('Special Help Table'!$A348)-LEN(SUBSTITUTE('Special Help Table'!$A348,",",""))=1,LEN('Special Help Table'!$A348)-LEN(SUBSTITUTE('Special Help Table'!$A348," ",""))=3),'Special Help Table'!$A348)</f>
        <v xml:space="preserve"> Robert D. Jones</v>
      </c>
      <c r="C348" s="4" t="s">
        <v>700</v>
      </c>
      <c r="D348" s="2"/>
      <c r="E348" s="2" t="s">
        <v>16</v>
      </c>
      <c r="F348" s="2" t="s">
        <v>17</v>
      </c>
      <c r="G348" s="2"/>
      <c r="H348" s="2"/>
      <c r="I348" s="2"/>
      <c r="J348" s="2" t="s">
        <v>56</v>
      </c>
      <c r="K348" s="3">
        <v>40247</v>
      </c>
      <c r="L348" s="2"/>
      <c r="M348" s="2"/>
      <c r="N348" s="2" t="s">
        <v>18</v>
      </c>
    </row>
    <row r="349" spans="1:14" ht="15.75" customHeight="1" x14ac:dyDescent="0.35">
      <c r="A349" s="2" t="s">
        <v>701</v>
      </c>
      <c r="B349" s="2" t="str" cm="1">
        <f t="array" ref="B349">_xlfn.IFS(AND(LEN('Special Help Table'!$A349)-(LEN(SUBSTITUTE('Special Help Table'!$A349,";","")))=0,LEN('Special Help Table'!$A349)-LEN(SUBSTITUTE('Special Help Table'!$A349,",",""))=1,LEN('Special Help Table'!$A349)-LEN(SUBSTITUTE('Special Help Table'!$A349,"and ",""))=0),MID('Special Help Table'!$A349&amp;" "&amp;'Special Help Table'!$A349,SEARCH(", ",'Special Help Table'!$A349)+1,LEN('Special Help Table'!$A349)),AND(LEN('Special Help Table'!$A349)-(LEN(SUBSTITUTE('Special Help Table'!$A349,";","")))=1,LEN('Special Help Table'!$A349)-LEN(SUBSTITUTE('Special Help Table'!$A349,"and ",""))=0),MID('Special Help Table'!$A349,SEARCH(",",'Special Help Table'!$A349)+1,(SEARCH(";",'Special Help Table'!$A349)-1)-SEARCH(",",'Special Help Table'!$A349))&amp;" "&amp;LEFT('Special Help Table'!$A349,SEARCH(",",'Special Help Table'!$A349)-1)&amp;";"&amp;RIGHT('Special Help Table'!$A349,LEN('Special Help Table'!$A349)-SEARCH(",",'Special Help Table'!$A349,SEARCH(";",'Special Help Table'!$A349)))&amp;" "&amp;MID('Special Help Table'!$A349,SEARCH("; ",'Special Help Table'!$A349)+2,SEARCH(",",'Special Help Table'!$A349,SEARCH(";",'Special Help Table'!$A349))-SEARCH(";",'Special Help Table'!$A349)-2),AND(LEN('Special Help Table'!$A349)-LEN(SUBSTITUTE('Special Help Table'!$A349,"and ",""))=0,LEN('Special Help Table'!$A349)-LEN(SUBSTITUTE('Special Help Table'!$A349,";",""))=0),'Special Help Table'!$A349,AND(LEN('Special Help Table'!$A349)-LEN(SUBSTITUTE('Special Help Table'!$A349,",","")=1),LEN('Special Help Table'!$A349)-LEN(SUBSTITUTE('Special Help Table'!$A349," ","")=20),LEN('Special Help Table'!$A349)-LEN(SUBSTITUTE('Special Help Table'!$A349," and",""))=0,LEN('Special Help Table'!$A349)-LEN(SUBSTITUTE('Special Help Table'!$A349,",","",FIND(" ",'Special Help Table'!$A349)+1))=0),RIGHT('Special Help Table'!$A349,LEN('Special Help Table'!$A349)-FIND(", ",'Special Help Table'!$A349))&amp;" "&amp;LEFT('Special Help Table'!$A349,FIND(",",'Special Help Table'!$A349)-1),AND(LEN('Special Help Table'!$A349)-LEN(SUBSTITUTE('Special Help Table'!$A349,"editor",""))=6,LEN('Special Help Table'!$A349)-LEN(SUBSTITUTE('Special Help Table'!$A349,"(",""))=0,LEN('Special Help Table'!$A349)-LEN(SUBSTITUTE('Special Help Table'!$A349,"and",""))=3,LEN('Special Help Table'!$A349)-LEN(SUBSTITUTE('Special Help Table'!$A349,",",""))=1,LEN('Special Help Table'!$A349)-LEN(SUBSTITUTE('Special Help Table'!$A349," ",""))=3),'Special Help Table'!$A349)</f>
        <v xml:space="preserve"> Kelly M Kapic</v>
      </c>
      <c r="C349" s="4" t="s">
        <v>702</v>
      </c>
      <c r="D349" s="2"/>
      <c r="E349" s="2" t="s">
        <v>16</v>
      </c>
      <c r="F349" s="2" t="s">
        <v>28</v>
      </c>
      <c r="G349" s="2"/>
      <c r="H349" s="2"/>
      <c r="I349" s="2"/>
      <c r="J349" s="2"/>
      <c r="K349" s="3">
        <v>41287</v>
      </c>
      <c r="L349" s="2"/>
      <c r="M349" s="2"/>
      <c r="N349" s="2" t="s">
        <v>18</v>
      </c>
    </row>
    <row r="350" spans="1:14" ht="15.75" customHeight="1" x14ac:dyDescent="0.35">
      <c r="A350" s="2" t="s">
        <v>703</v>
      </c>
      <c r="B350" s="2" t="str" cm="1">
        <f t="array" ref="B350">_xlfn.IFS(AND(LEN('Special Help Table'!$A350)-(LEN(SUBSTITUTE('Special Help Table'!$A350,";","")))=0,LEN('Special Help Table'!$A350)-LEN(SUBSTITUTE('Special Help Table'!$A350,",",""))=1,LEN('Special Help Table'!$A350)-LEN(SUBSTITUTE('Special Help Table'!$A350,"and ",""))=0),MID('Special Help Table'!$A350&amp;" "&amp;'Special Help Table'!$A350,SEARCH(", ",'Special Help Table'!$A350)+1,LEN('Special Help Table'!$A350)),AND(LEN('Special Help Table'!$A350)-(LEN(SUBSTITUTE('Special Help Table'!$A350,";","")))=1,LEN('Special Help Table'!$A350)-LEN(SUBSTITUTE('Special Help Table'!$A350,"and ",""))=0),MID('Special Help Table'!$A350,SEARCH(",",'Special Help Table'!$A350)+1,(SEARCH(";",'Special Help Table'!$A350)-1)-SEARCH(",",'Special Help Table'!$A350))&amp;" "&amp;LEFT('Special Help Table'!$A350,SEARCH(",",'Special Help Table'!$A350)-1)&amp;";"&amp;RIGHT('Special Help Table'!$A350,LEN('Special Help Table'!$A350)-SEARCH(",",'Special Help Table'!$A350,SEARCH(";",'Special Help Table'!$A350)))&amp;" "&amp;MID('Special Help Table'!$A350,SEARCH("; ",'Special Help Table'!$A350)+2,SEARCH(",",'Special Help Table'!$A350,SEARCH(";",'Special Help Table'!$A350))-SEARCH(";",'Special Help Table'!$A350)-2),AND(LEN('Special Help Table'!$A350)-LEN(SUBSTITUTE('Special Help Table'!$A350,"and ",""))=0,LEN('Special Help Table'!$A350)-LEN(SUBSTITUTE('Special Help Table'!$A350,";",""))=0),'Special Help Table'!$A350,AND(LEN('Special Help Table'!$A350)-LEN(SUBSTITUTE('Special Help Table'!$A350,",","")=1),LEN('Special Help Table'!$A350)-LEN(SUBSTITUTE('Special Help Table'!$A350," ","")=20),LEN('Special Help Table'!$A350)-LEN(SUBSTITUTE('Special Help Table'!$A350," and",""))=0,LEN('Special Help Table'!$A350)-LEN(SUBSTITUTE('Special Help Table'!$A350,",","",FIND(" ",'Special Help Table'!$A350)+1))=0),RIGHT('Special Help Table'!$A350,LEN('Special Help Table'!$A350)-FIND(", ",'Special Help Table'!$A350))&amp;" "&amp;LEFT('Special Help Table'!$A350,FIND(",",'Special Help Table'!$A350)-1),AND(LEN('Special Help Table'!$A350)-LEN(SUBSTITUTE('Special Help Table'!$A350,"editor",""))=6,LEN('Special Help Table'!$A350)-LEN(SUBSTITUTE('Special Help Table'!$A350,"(",""))=0,LEN('Special Help Table'!$A350)-LEN(SUBSTITUTE('Special Help Table'!$A350,"and",""))=3,LEN('Special Help Table'!$A350)-LEN(SUBSTITUTE('Special Help Table'!$A350,",",""))=1,LEN('Special Help Table'!$A350)-LEN(SUBSTITUTE('Special Help Table'!$A350," ",""))=3),'Special Help Table'!$A350)</f>
        <v xml:space="preserve"> John W. Keddie</v>
      </c>
      <c r="C350" s="4" t="s">
        <v>704</v>
      </c>
      <c r="D350" s="2"/>
      <c r="E350" s="2" t="s">
        <v>16</v>
      </c>
      <c r="F350" s="2" t="s">
        <v>39</v>
      </c>
      <c r="G350" s="2"/>
      <c r="H350" s="2"/>
      <c r="I350" s="2"/>
      <c r="J350" s="2" t="s">
        <v>705</v>
      </c>
      <c r="K350" s="3"/>
      <c r="L350" s="2"/>
      <c r="M350" s="2"/>
      <c r="N350" s="2" t="s">
        <v>18</v>
      </c>
    </row>
    <row r="351" spans="1:14" ht="15.75" customHeight="1" x14ac:dyDescent="0.35">
      <c r="A351" s="2" t="s">
        <v>706</v>
      </c>
      <c r="B351" s="2" t="str" cm="1">
        <f t="array" ref="B351">_xlfn.IFS(AND(LEN('Special Help Table'!$A351)-(LEN(SUBSTITUTE('Special Help Table'!$A351,";","")))=0,LEN('Special Help Table'!$A351)-LEN(SUBSTITUTE('Special Help Table'!$A351,",",""))=1,LEN('Special Help Table'!$A351)-LEN(SUBSTITUTE('Special Help Table'!$A351,"and ",""))=0),MID('Special Help Table'!$A351&amp;" "&amp;'Special Help Table'!$A351,SEARCH(", ",'Special Help Table'!$A351)+1,LEN('Special Help Table'!$A351)),AND(LEN('Special Help Table'!$A351)-(LEN(SUBSTITUTE('Special Help Table'!$A351,";","")))=1,LEN('Special Help Table'!$A351)-LEN(SUBSTITUTE('Special Help Table'!$A351,"and ",""))=0),MID('Special Help Table'!$A351,SEARCH(",",'Special Help Table'!$A351)+1,(SEARCH(";",'Special Help Table'!$A351)-1)-SEARCH(",",'Special Help Table'!$A351))&amp;" "&amp;LEFT('Special Help Table'!$A351,SEARCH(",",'Special Help Table'!$A351)-1)&amp;";"&amp;RIGHT('Special Help Table'!$A351,LEN('Special Help Table'!$A351)-SEARCH(",",'Special Help Table'!$A351,SEARCH(";",'Special Help Table'!$A351)))&amp;" "&amp;MID('Special Help Table'!$A351,SEARCH("; ",'Special Help Table'!$A351)+2,SEARCH(",",'Special Help Table'!$A351,SEARCH(";",'Special Help Table'!$A351))-SEARCH(";",'Special Help Table'!$A351)-2),AND(LEN('Special Help Table'!$A351)-LEN(SUBSTITUTE('Special Help Table'!$A351,"and ",""))=0,LEN('Special Help Table'!$A351)-LEN(SUBSTITUTE('Special Help Table'!$A351,";",""))=0),'Special Help Table'!$A351,AND(LEN('Special Help Table'!$A351)-LEN(SUBSTITUTE('Special Help Table'!$A351,",","")=1),LEN('Special Help Table'!$A351)-LEN(SUBSTITUTE('Special Help Table'!$A351," ","")=20),LEN('Special Help Table'!$A351)-LEN(SUBSTITUTE('Special Help Table'!$A351," and",""))=0,LEN('Special Help Table'!$A351)-LEN(SUBSTITUTE('Special Help Table'!$A351,",","",FIND(" ",'Special Help Table'!$A351)+1))=0),RIGHT('Special Help Table'!$A351,LEN('Special Help Table'!$A351)-FIND(", ",'Special Help Table'!$A351))&amp;" "&amp;LEFT('Special Help Table'!$A351,FIND(",",'Special Help Table'!$A351)-1),AND(LEN('Special Help Table'!$A351)-LEN(SUBSTITUTE('Special Help Table'!$A351,"editor",""))=6,LEN('Special Help Table'!$A351)-LEN(SUBSTITUTE('Special Help Table'!$A351,"(",""))=0,LEN('Special Help Table'!$A351)-LEN(SUBSTITUTE('Special Help Table'!$A351,"and",""))=3,LEN('Special Help Table'!$A351)-LEN(SUBSTITUTE('Special Help Table'!$A351,",",""))=1,LEN('Special Help Table'!$A351)-LEN(SUBSTITUTE('Special Help Table'!$A351," ",""))=3),'Special Help Table'!$A351)</f>
        <v xml:space="preserve"> Bob Kelleman</v>
      </c>
      <c r="C351" s="4" t="s">
        <v>707</v>
      </c>
      <c r="D351" s="2"/>
      <c r="E351" s="2" t="s">
        <v>16</v>
      </c>
      <c r="F351" s="2" t="s">
        <v>17</v>
      </c>
      <c r="G351" s="2"/>
      <c r="H351" s="2" t="s">
        <v>401</v>
      </c>
      <c r="I351" s="2"/>
      <c r="J351" s="2" t="s">
        <v>316</v>
      </c>
      <c r="K351" s="3"/>
      <c r="L351" s="2"/>
      <c r="M351" s="2"/>
      <c r="N351" s="2" t="s">
        <v>18</v>
      </c>
    </row>
    <row r="352" spans="1:14" ht="15.75" customHeight="1" x14ac:dyDescent="0.35">
      <c r="A352" s="2" t="s">
        <v>706</v>
      </c>
      <c r="B352" s="2" t="str" cm="1">
        <f t="array" ref="B352">_xlfn.IFS(AND(LEN('Special Help Table'!$A352)-(LEN(SUBSTITUTE('Special Help Table'!$A352,";","")))=0,LEN('Special Help Table'!$A352)-LEN(SUBSTITUTE('Special Help Table'!$A352,",",""))=1,LEN('Special Help Table'!$A352)-LEN(SUBSTITUTE('Special Help Table'!$A352,"and ",""))=0),MID('Special Help Table'!$A352&amp;" "&amp;'Special Help Table'!$A352,SEARCH(", ",'Special Help Table'!$A352)+1,LEN('Special Help Table'!$A352)),AND(LEN('Special Help Table'!$A352)-(LEN(SUBSTITUTE('Special Help Table'!$A352,";","")))=1,LEN('Special Help Table'!$A352)-LEN(SUBSTITUTE('Special Help Table'!$A352,"and ",""))=0),MID('Special Help Table'!$A352,SEARCH(",",'Special Help Table'!$A352)+1,(SEARCH(";",'Special Help Table'!$A352)-1)-SEARCH(",",'Special Help Table'!$A352))&amp;" "&amp;LEFT('Special Help Table'!$A352,SEARCH(",",'Special Help Table'!$A352)-1)&amp;";"&amp;RIGHT('Special Help Table'!$A352,LEN('Special Help Table'!$A352)-SEARCH(",",'Special Help Table'!$A352,SEARCH(";",'Special Help Table'!$A352)))&amp;" "&amp;MID('Special Help Table'!$A352,SEARCH("; ",'Special Help Table'!$A352)+2,SEARCH(",",'Special Help Table'!$A352,SEARCH(";",'Special Help Table'!$A352))-SEARCH(";",'Special Help Table'!$A352)-2),AND(LEN('Special Help Table'!$A352)-LEN(SUBSTITUTE('Special Help Table'!$A352,"and ",""))=0,LEN('Special Help Table'!$A352)-LEN(SUBSTITUTE('Special Help Table'!$A352,";",""))=0),'Special Help Table'!$A352,AND(LEN('Special Help Table'!$A352)-LEN(SUBSTITUTE('Special Help Table'!$A352,",","")=1),LEN('Special Help Table'!$A352)-LEN(SUBSTITUTE('Special Help Table'!$A352," ","")=20),LEN('Special Help Table'!$A352)-LEN(SUBSTITUTE('Special Help Table'!$A352," and",""))=0,LEN('Special Help Table'!$A352)-LEN(SUBSTITUTE('Special Help Table'!$A352,",","",FIND(" ",'Special Help Table'!$A352)+1))=0),RIGHT('Special Help Table'!$A352,LEN('Special Help Table'!$A352)-FIND(", ",'Special Help Table'!$A352))&amp;" "&amp;LEFT('Special Help Table'!$A352,FIND(",",'Special Help Table'!$A352)-1),AND(LEN('Special Help Table'!$A352)-LEN(SUBSTITUTE('Special Help Table'!$A352,"editor",""))=6,LEN('Special Help Table'!$A352)-LEN(SUBSTITUTE('Special Help Table'!$A352,"(",""))=0,LEN('Special Help Table'!$A352)-LEN(SUBSTITUTE('Special Help Table'!$A352,"and",""))=3,LEN('Special Help Table'!$A352)-LEN(SUBSTITUTE('Special Help Table'!$A352,",",""))=1,LEN('Special Help Table'!$A352)-LEN(SUBSTITUTE('Special Help Table'!$A352," ",""))=3),'Special Help Table'!$A352)</f>
        <v xml:space="preserve"> Bob Kelleman</v>
      </c>
      <c r="C352" s="4" t="s">
        <v>707</v>
      </c>
      <c r="D352" s="2"/>
      <c r="E352" s="2" t="s">
        <v>16</v>
      </c>
      <c r="F352" s="2" t="s">
        <v>17</v>
      </c>
      <c r="G352" s="2"/>
      <c r="H352" s="2"/>
      <c r="I352" s="2"/>
      <c r="J352" s="2" t="s">
        <v>596</v>
      </c>
      <c r="K352" s="3"/>
      <c r="L352" s="2"/>
      <c r="M352" s="2"/>
      <c r="N352" s="2" t="s">
        <v>18</v>
      </c>
    </row>
    <row r="353" spans="1:14" ht="15.75" customHeight="1" x14ac:dyDescent="0.35">
      <c r="A353" s="2" t="s">
        <v>708</v>
      </c>
      <c r="B353" s="2" t="str" cm="1">
        <f t="array" ref="B353">_xlfn.IFS(AND(LEN('Special Help Table'!$A353)-(LEN(SUBSTITUTE('Special Help Table'!$A353,";","")))=0,LEN('Special Help Table'!$A353)-LEN(SUBSTITUTE('Special Help Table'!$A353,",",""))=1,LEN('Special Help Table'!$A353)-LEN(SUBSTITUTE('Special Help Table'!$A353,"and ",""))=0),MID('Special Help Table'!$A353&amp;" "&amp;'Special Help Table'!$A353,SEARCH(", ",'Special Help Table'!$A353)+1,LEN('Special Help Table'!$A353)),AND(LEN('Special Help Table'!$A353)-(LEN(SUBSTITUTE('Special Help Table'!$A353,";","")))=1,LEN('Special Help Table'!$A353)-LEN(SUBSTITUTE('Special Help Table'!$A353,"and ",""))=0),MID('Special Help Table'!$A353,SEARCH(",",'Special Help Table'!$A353)+1,(SEARCH(";",'Special Help Table'!$A353)-1)-SEARCH(",",'Special Help Table'!$A353))&amp;" "&amp;LEFT('Special Help Table'!$A353,SEARCH(",",'Special Help Table'!$A353)-1)&amp;";"&amp;RIGHT('Special Help Table'!$A353,LEN('Special Help Table'!$A353)-SEARCH(",",'Special Help Table'!$A353,SEARCH(";",'Special Help Table'!$A353)))&amp;" "&amp;MID('Special Help Table'!$A353,SEARCH("; ",'Special Help Table'!$A353)+2,SEARCH(",",'Special Help Table'!$A353,SEARCH(";",'Special Help Table'!$A353))-SEARCH(";",'Special Help Table'!$A353)-2),AND(LEN('Special Help Table'!$A353)-LEN(SUBSTITUTE('Special Help Table'!$A353,"and ",""))=0,LEN('Special Help Table'!$A353)-LEN(SUBSTITUTE('Special Help Table'!$A353,";",""))=0),'Special Help Table'!$A353,AND(LEN('Special Help Table'!$A353)-LEN(SUBSTITUTE('Special Help Table'!$A353,",","")=1),LEN('Special Help Table'!$A353)-LEN(SUBSTITUTE('Special Help Table'!$A353," ","")=20),LEN('Special Help Table'!$A353)-LEN(SUBSTITUTE('Special Help Table'!$A353," and",""))=0,LEN('Special Help Table'!$A353)-LEN(SUBSTITUTE('Special Help Table'!$A353,",","",FIND(" ",'Special Help Table'!$A353)+1))=0),RIGHT('Special Help Table'!$A353,LEN('Special Help Table'!$A353)-FIND(", ",'Special Help Table'!$A353))&amp;" "&amp;LEFT('Special Help Table'!$A353,FIND(",",'Special Help Table'!$A353)-1),AND(LEN('Special Help Table'!$A353)-LEN(SUBSTITUTE('Special Help Table'!$A353,"editor",""))=6,LEN('Special Help Table'!$A353)-LEN(SUBSTITUTE('Special Help Table'!$A353,"(",""))=0,LEN('Special Help Table'!$A353)-LEN(SUBSTITUTE('Special Help Table'!$A353,"and",""))=3,LEN('Special Help Table'!$A353)-LEN(SUBSTITUTE('Special Help Table'!$A353,",",""))=1,LEN('Special Help Table'!$A353)-LEN(SUBSTITUTE('Special Help Table'!$A353," ",""))=3),'Special Help Table'!$A353)</f>
        <v xml:space="preserve"> Bob Kellemen</v>
      </c>
      <c r="C353" s="4" t="s">
        <v>709</v>
      </c>
      <c r="D353" s="2"/>
      <c r="E353" s="2" t="s">
        <v>16</v>
      </c>
      <c r="F353" s="2" t="s">
        <v>17</v>
      </c>
      <c r="G353" s="2"/>
      <c r="H353" s="2"/>
      <c r="I353" s="2" t="s">
        <v>22</v>
      </c>
      <c r="J353" s="2" t="s">
        <v>22</v>
      </c>
      <c r="K353" s="3">
        <v>44534</v>
      </c>
      <c r="L353" s="2"/>
      <c r="M353" s="2"/>
      <c r="N353" s="2" t="s">
        <v>18</v>
      </c>
    </row>
    <row r="354" spans="1:14" ht="15.75" customHeight="1" x14ac:dyDescent="0.35">
      <c r="A354" s="2" t="s">
        <v>708</v>
      </c>
      <c r="B354" s="2" t="str" cm="1">
        <f t="array" ref="B354">_xlfn.IFS(AND(LEN('Special Help Table'!$A354)-(LEN(SUBSTITUTE('Special Help Table'!$A354,";","")))=0,LEN('Special Help Table'!$A354)-LEN(SUBSTITUTE('Special Help Table'!$A354,",",""))=1,LEN('Special Help Table'!$A354)-LEN(SUBSTITUTE('Special Help Table'!$A354,"and ",""))=0),MID('Special Help Table'!$A354&amp;" "&amp;'Special Help Table'!$A354,SEARCH(", ",'Special Help Table'!$A354)+1,LEN('Special Help Table'!$A354)),AND(LEN('Special Help Table'!$A354)-(LEN(SUBSTITUTE('Special Help Table'!$A354,";","")))=1,LEN('Special Help Table'!$A354)-LEN(SUBSTITUTE('Special Help Table'!$A354,"and ",""))=0),MID('Special Help Table'!$A354,SEARCH(",",'Special Help Table'!$A354)+1,(SEARCH(";",'Special Help Table'!$A354)-1)-SEARCH(",",'Special Help Table'!$A354))&amp;" "&amp;LEFT('Special Help Table'!$A354,SEARCH(",",'Special Help Table'!$A354)-1)&amp;";"&amp;RIGHT('Special Help Table'!$A354,LEN('Special Help Table'!$A354)-SEARCH(",",'Special Help Table'!$A354,SEARCH(";",'Special Help Table'!$A354)))&amp;" "&amp;MID('Special Help Table'!$A354,SEARCH("; ",'Special Help Table'!$A354)+2,SEARCH(",",'Special Help Table'!$A354,SEARCH(";",'Special Help Table'!$A354))-SEARCH(";",'Special Help Table'!$A354)-2),AND(LEN('Special Help Table'!$A354)-LEN(SUBSTITUTE('Special Help Table'!$A354,"and ",""))=0,LEN('Special Help Table'!$A354)-LEN(SUBSTITUTE('Special Help Table'!$A354,";",""))=0),'Special Help Table'!$A354,AND(LEN('Special Help Table'!$A354)-LEN(SUBSTITUTE('Special Help Table'!$A354,",","")=1),LEN('Special Help Table'!$A354)-LEN(SUBSTITUTE('Special Help Table'!$A354," ","")=20),LEN('Special Help Table'!$A354)-LEN(SUBSTITUTE('Special Help Table'!$A354," and",""))=0,LEN('Special Help Table'!$A354)-LEN(SUBSTITUTE('Special Help Table'!$A354,",","",FIND(" ",'Special Help Table'!$A354)+1))=0),RIGHT('Special Help Table'!$A354,LEN('Special Help Table'!$A354)-FIND(", ",'Special Help Table'!$A354))&amp;" "&amp;LEFT('Special Help Table'!$A354,FIND(",",'Special Help Table'!$A354)-1),AND(LEN('Special Help Table'!$A354)-LEN(SUBSTITUTE('Special Help Table'!$A354,"editor",""))=6,LEN('Special Help Table'!$A354)-LEN(SUBSTITUTE('Special Help Table'!$A354,"(",""))=0,LEN('Special Help Table'!$A354)-LEN(SUBSTITUTE('Special Help Table'!$A354,"and",""))=3,LEN('Special Help Table'!$A354)-LEN(SUBSTITUTE('Special Help Table'!$A354,",",""))=1,LEN('Special Help Table'!$A354)-LEN(SUBSTITUTE('Special Help Table'!$A354," ",""))=3),'Special Help Table'!$A354)</f>
        <v xml:space="preserve"> Bob Kellemen</v>
      </c>
      <c r="C354" s="4" t="s">
        <v>710</v>
      </c>
      <c r="D354" s="2"/>
      <c r="E354" s="2" t="s">
        <v>16</v>
      </c>
      <c r="F354" s="2" t="s">
        <v>36</v>
      </c>
      <c r="G354" s="2"/>
      <c r="H354" s="2"/>
      <c r="I354" s="2"/>
      <c r="J354" s="2" t="s">
        <v>449</v>
      </c>
      <c r="K354" s="3">
        <v>43872</v>
      </c>
      <c r="L354" s="2"/>
      <c r="M354" s="2"/>
      <c r="N354" s="2" t="s">
        <v>18</v>
      </c>
    </row>
    <row r="355" spans="1:14" ht="15.75" customHeight="1" x14ac:dyDescent="0.35">
      <c r="A355" s="2" t="s">
        <v>711</v>
      </c>
      <c r="B355" s="2" t="str" cm="1">
        <f t="array" ref="B355">_xlfn.IFS(AND(LEN('Special Help Table'!$A355)-(LEN(SUBSTITUTE('Special Help Table'!$A355,";","")))=0,LEN('Special Help Table'!$A355)-LEN(SUBSTITUTE('Special Help Table'!$A355,",",""))=1,LEN('Special Help Table'!$A355)-LEN(SUBSTITUTE('Special Help Table'!$A355,"and ",""))=0),MID('Special Help Table'!$A355&amp;" "&amp;'Special Help Table'!$A355,SEARCH(", ",'Special Help Table'!$A355)+1,LEN('Special Help Table'!$A355)),AND(LEN('Special Help Table'!$A355)-(LEN(SUBSTITUTE('Special Help Table'!$A355,";","")))=1,LEN('Special Help Table'!$A355)-LEN(SUBSTITUTE('Special Help Table'!$A355,"and ",""))=0),MID('Special Help Table'!$A355,SEARCH(",",'Special Help Table'!$A355)+1,(SEARCH(";",'Special Help Table'!$A355)-1)-SEARCH(",",'Special Help Table'!$A355))&amp;" "&amp;LEFT('Special Help Table'!$A355,SEARCH(",",'Special Help Table'!$A355)-1)&amp;";"&amp;RIGHT('Special Help Table'!$A355,LEN('Special Help Table'!$A355)-SEARCH(",",'Special Help Table'!$A355,SEARCH(";",'Special Help Table'!$A355)))&amp;" "&amp;MID('Special Help Table'!$A355,SEARCH("; ",'Special Help Table'!$A355)+2,SEARCH(",",'Special Help Table'!$A355,SEARCH(";",'Special Help Table'!$A355))-SEARCH(";",'Special Help Table'!$A355)-2),AND(LEN('Special Help Table'!$A355)-LEN(SUBSTITUTE('Special Help Table'!$A355,"and ",""))=0,LEN('Special Help Table'!$A355)-LEN(SUBSTITUTE('Special Help Table'!$A355,";",""))=0),'Special Help Table'!$A355,AND(LEN('Special Help Table'!$A355)-LEN(SUBSTITUTE('Special Help Table'!$A355,",","")=1),LEN('Special Help Table'!$A355)-LEN(SUBSTITUTE('Special Help Table'!$A355," ","")=20),LEN('Special Help Table'!$A355)-LEN(SUBSTITUTE('Special Help Table'!$A355," and",""))=0,LEN('Special Help Table'!$A355)-LEN(SUBSTITUTE('Special Help Table'!$A355,",","",FIND(" ",'Special Help Table'!$A355)+1))=0),RIGHT('Special Help Table'!$A355,LEN('Special Help Table'!$A355)-FIND(", ",'Special Help Table'!$A355))&amp;" "&amp;LEFT('Special Help Table'!$A355,FIND(",",'Special Help Table'!$A355)-1),AND(LEN('Special Help Table'!$A355)-LEN(SUBSTITUTE('Special Help Table'!$A355,"editor",""))=6,LEN('Special Help Table'!$A355)-LEN(SUBSTITUTE('Special Help Table'!$A355,"(",""))=0,LEN('Special Help Table'!$A355)-LEN(SUBSTITUTE('Special Help Table'!$A355,"and",""))=3,LEN('Special Help Table'!$A355)-LEN(SUBSTITUTE('Special Help Table'!$A355,",",""))=1,LEN('Special Help Table'!$A355)-LEN(SUBSTITUTE('Special Help Table'!$A355," ",""))=3),'Special Help Table'!$A355)</f>
        <v xml:space="preserve"> Robert W. Kellemen</v>
      </c>
      <c r="C355" s="4" t="s">
        <v>712</v>
      </c>
      <c r="D355" s="2" t="s">
        <v>713</v>
      </c>
      <c r="E355" s="2" t="s">
        <v>16</v>
      </c>
      <c r="F355" s="2" t="s">
        <v>17</v>
      </c>
      <c r="G355" s="2"/>
      <c r="H355" s="2"/>
      <c r="I355" s="2"/>
      <c r="J355" s="2" t="s">
        <v>712</v>
      </c>
      <c r="K355" s="3">
        <v>42139</v>
      </c>
      <c r="L355" s="2"/>
      <c r="M355" s="2"/>
      <c r="N355" s="2" t="s">
        <v>18</v>
      </c>
    </row>
    <row r="356" spans="1:14" ht="15.75" customHeight="1" x14ac:dyDescent="0.35">
      <c r="A356" s="2" t="s">
        <v>714</v>
      </c>
      <c r="B356" s="2" t="str" cm="1">
        <f t="array" ref="B356">_xlfn.IFS(AND(LEN('Special Help Table'!$A356)-(LEN(SUBSTITUTE('Special Help Table'!$A356,";","")))=0,LEN('Special Help Table'!$A356)-LEN(SUBSTITUTE('Special Help Table'!$A356,",",""))=1,LEN('Special Help Table'!$A356)-LEN(SUBSTITUTE('Special Help Table'!$A356,"and ",""))=0),MID('Special Help Table'!$A356&amp;" "&amp;'Special Help Table'!$A356,SEARCH(", ",'Special Help Table'!$A356)+1,LEN('Special Help Table'!$A356)),AND(LEN('Special Help Table'!$A356)-(LEN(SUBSTITUTE('Special Help Table'!$A356,";","")))=1,LEN('Special Help Table'!$A356)-LEN(SUBSTITUTE('Special Help Table'!$A356,"and ",""))=0),MID('Special Help Table'!$A356,SEARCH(",",'Special Help Table'!$A356)+1,(SEARCH(";",'Special Help Table'!$A356)-1)-SEARCH(",",'Special Help Table'!$A356))&amp;" "&amp;LEFT('Special Help Table'!$A356,SEARCH(",",'Special Help Table'!$A356)-1)&amp;";"&amp;RIGHT('Special Help Table'!$A356,LEN('Special Help Table'!$A356)-SEARCH(",",'Special Help Table'!$A356,SEARCH(";",'Special Help Table'!$A356)))&amp;" "&amp;MID('Special Help Table'!$A356,SEARCH("; ",'Special Help Table'!$A356)+2,SEARCH(",",'Special Help Table'!$A356,SEARCH(";",'Special Help Table'!$A356))-SEARCH(";",'Special Help Table'!$A356)-2),AND(LEN('Special Help Table'!$A356)-LEN(SUBSTITUTE('Special Help Table'!$A356,"and ",""))=0,LEN('Special Help Table'!$A356)-LEN(SUBSTITUTE('Special Help Table'!$A356,";",""))=0),'Special Help Table'!$A356,AND(LEN('Special Help Table'!$A356)-LEN(SUBSTITUTE('Special Help Table'!$A356,",","")=1),LEN('Special Help Table'!$A356)-LEN(SUBSTITUTE('Special Help Table'!$A356," ","")=20),LEN('Special Help Table'!$A356)-LEN(SUBSTITUTE('Special Help Table'!$A356," and",""))=0,LEN('Special Help Table'!$A356)-LEN(SUBSTITUTE('Special Help Table'!$A356,",","",FIND(" ",'Special Help Table'!$A356)+1))=0),RIGHT('Special Help Table'!$A356,LEN('Special Help Table'!$A356)-FIND(", ",'Special Help Table'!$A356))&amp;" "&amp;LEFT('Special Help Table'!$A356,FIND(",",'Special Help Table'!$A356)-1),AND(LEN('Special Help Table'!$A356)-LEN(SUBSTITUTE('Special Help Table'!$A356,"editor",""))=6,LEN('Special Help Table'!$A356)-LEN(SUBSTITUTE('Special Help Table'!$A356,"(",""))=0,LEN('Special Help Table'!$A356)-LEN(SUBSTITUTE('Special Help Table'!$A356,"and",""))=3,LEN('Special Help Table'!$A356)-LEN(SUBSTITUTE('Special Help Table'!$A356,",",""))=1,LEN('Special Help Table'!$A356)-LEN(SUBSTITUTE('Special Help Table'!$A356," ",""))=3),'Special Help Table'!$A356)</f>
        <v xml:space="preserve"> Kathy Keller</v>
      </c>
      <c r="C356" s="4" t="s">
        <v>715</v>
      </c>
      <c r="D356" s="2"/>
      <c r="E356" s="2" t="s">
        <v>16</v>
      </c>
      <c r="F356" s="2" t="s">
        <v>72</v>
      </c>
      <c r="G356" s="2"/>
      <c r="H356" s="2"/>
      <c r="I356" s="2"/>
      <c r="J356" s="2"/>
      <c r="K356" s="3"/>
      <c r="L356" s="2"/>
      <c r="M356" s="2"/>
      <c r="N356" s="2" t="s">
        <v>18</v>
      </c>
    </row>
    <row r="357" spans="1:14" ht="15.75" customHeight="1" x14ac:dyDescent="0.35">
      <c r="A357" s="2" t="s">
        <v>716</v>
      </c>
      <c r="B357" s="2" t="str" cm="1">
        <f t="array" ref="B357">_xlfn.IFS(AND(LEN('Special Help Table'!$A357)-(LEN(SUBSTITUTE('Special Help Table'!$A357,";","")))=0,LEN('Special Help Table'!$A357)-LEN(SUBSTITUTE('Special Help Table'!$A357,",",""))=1,LEN('Special Help Table'!$A357)-LEN(SUBSTITUTE('Special Help Table'!$A357,"and ",""))=0),MID('Special Help Table'!$A357&amp;" "&amp;'Special Help Table'!$A357,SEARCH(", ",'Special Help Table'!$A357)+1,LEN('Special Help Table'!$A357)),AND(LEN('Special Help Table'!$A357)-(LEN(SUBSTITUTE('Special Help Table'!$A357,";","")))=1,LEN('Special Help Table'!$A357)-LEN(SUBSTITUTE('Special Help Table'!$A357,"and ",""))=0),MID('Special Help Table'!$A357,SEARCH(",",'Special Help Table'!$A357)+1,(SEARCH(";",'Special Help Table'!$A357)-1)-SEARCH(",",'Special Help Table'!$A357))&amp;" "&amp;LEFT('Special Help Table'!$A357,SEARCH(",",'Special Help Table'!$A357)-1)&amp;";"&amp;RIGHT('Special Help Table'!$A357,LEN('Special Help Table'!$A357)-SEARCH(",",'Special Help Table'!$A357,SEARCH(";",'Special Help Table'!$A357)))&amp;" "&amp;MID('Special Help Table'!$A357,SEARCH("; ",'Special Help Table'!$A357)+2,SEARCH(",",'Special Help Table'!$A357,SEARCH(";",'Special Help Table'!$A357))-SEARCH(";",'Special Help Table'!$A357)-2),AND(LEN('Special Help Table'!$A357)-LEN(SUBSTITUTE('Special Help Table'!$A357,"and ",""))=0,LEN('Special Help Table'!$A357)-LEN(SUBSTITUTE('Special Help Table'!$A357,";",""))=0),'Special Help Table'!$A357,AND(LEN('Special Help Table'!$A357)-LEN(SUBSTITUTE('Special Help Table'!$A357,",","")=1),LEN('Special Help Table'!$A357)-LEN(SUBSTITUTE('Special Help Table'!$A357," ","")=20),LEN('Special Help Table'!$A357)-LEN(SUBSTITUTE('Special Help Table'!$A357," and",""))=0,LEN('Special Help Table'!$A357)-LEN(SUBSTITUTE('Special Help Table'!$A357,",","",FIND(" ",'Special Help Table'!$A357)+1))=0),RIGHT('Special Help Table'!$A357,LEN('Special Help Table'!$A357)-FIND(", ",'Special Help Table'!$A357))&amp;" "&amp;LEFT('Special Help Table'!$A357,FIND(",",'Special Help Table'!$A357)-1),AND(LEN('Special Help Table'!$A357)-LEN(SUBSTITUTE('Special Help Table'!$A357,"editor",""))=6,LEN('Special Help Table'!$A357)-LEN(SUBSTITUTE('Special Help Table'!$A357,"(",""))=0,LEN('Special Help Table'!$A357)-LEN(SUBSTITUTE('Special Help Table'!$A357,"and",""))=3,LEN('Special Help Table'!$A357)-LEN(SUBSTITUTE('Special Help Table'!$A357,",",""))=1,LEN('Special Help Table'!$A357)-LEN(SUBSTITUTE('Special Help Table'!$A357," ",""))=3),'Special Help Table'!$A357)</f>
        <v xml:space="preserve"> Timothy Keller</v>
      </c>
      <c r="C357" s="4" t="s">
        <v>717</v>
      </c>
      <c r="D357" s="2"/>
      <c r="E357" s="2" t="s">
        <v>16</v>
      </c>
      <c r="F357" s="2" t="s">
        <v>20</v>
      </c>
      <c r="G357" s="2"/>
      <c r="H357" s="2"/>
      <c r="I357" s="2"/>
      <c r="J357" s="2" t="s">
        <v>718</v>
      </c>
      <c r="K357" s="3">
        <v>40238</v>
      </c>
      <c r="L357" s="2"/>
      <c r="M357" s="2"/>
      <c r="N357" s="2" t="s">
        <v>18</v>
      </c>
    </row>
    <row r="358" spans="1:14" ht="15.75" customHeight="1" x14ac:dyDescent="0.35">
      <c r="A358" s="2" t="s">
        <v>716</v>
      </c>
      <c r="B358" s="2" t="str" cm="1">
        <f t="array" ref="B358">_xlfn.IFS(AND(LEN('Special Help Table'!$A358)-(LEN(SUBSTITUTE('Special Help Table'!$A358,";","")))=0,LEN('Special Help Table'!$A358)-LEN(SUBSTITUTE('Special Help Table'!$A358,",",""))=1,LEN('Special Help Table'!$A358)-LEN(SUBSTITUTE('Special Help Table'!$A358,"and ",""))=0),MID('Special Help Table'!$A358&amp;" "&amp;'Special Help Table'!$A358,SEARCH(", ",'Special Help Table'!$A358)+1,LEN('Special Help Table'!$A358)),AND(LEN('Special Help Table'!$A358)-(LEN(SUBSTITUTE('Special Help Table'!$A358,";","")))=1,LEN('Special Help Table'!$A358)-LEN(SUBSTITUTE('Special Help Table'!$A358,"and ",""))=0),MID('Special Help Table'!$A358,SEARCH(",",'Special Help Table'!$A358)+1,(SEARCH(";",'Special Help Table'!$A358)-1)-SEARCH(",",'Special Help Table'!$A358))&amp;" "&amp;LEFT('Special Help Table'!$A358,SEARCH(",",'Special Help Table'!$A358)-1)&amp;";"&amp;RIGHT('Special Help Table'!$A358,LEN('Special Help Table'!$A358)-SEARCH(",",'Special Help Table'!$A358,SEARCH(";",'Special Help Table'!$A358)))&amp;" "&amp;MID('Special Help Table'!$A358,SEARCH("; ",'Special Help Table'!$A358)+2,SEARCH(",",'Special Help Table'!$A358,SEARCH(";",'Special Help Table'!$A358))-SEARCH(";",'Special Help Table'!$A358)-2),AND(LEN('Special Help Table'!$A358)-LEN(SUBSTITUTE('Special Help Table'!$A358,"and ",""))=0,LEN('Special Help Table'!$A358)-LEN(SUBSTITUTE('Special Help Table'!$A358,";",""))=0),'Special Help Table'!$A358,AND(LEN('Special Help Table'!$A358)-LEN(SUBSTITUTE('Special Help Table'!$A358,",","")=1),LEN('Special Help Table'!$A358)-LEN(SUBSTITUTE('Special Help Table'!$A358," ","")=20),LEN('Special Help Table'!$A358)-LEN(SUBSTITUTE('Special Help Table'!$A358," and",""))=0,LEN('Special Help Table'!$A358)-LEN(SUBSTITUTE('Special Help Table'!$A358,",","",FIND(" ",'Special Help Table'!$A358)+1))=0),RIGHT('Special Help Table'!$A358,LEN('Special Help Table'!$A358)-FIND(", ",'Special Help Table'!$A358))&amp;" "&amp;LEFT('Special Help Table'!$A358,FIND(",",'Special Help Table'!$A358)-1),AND(LEN('Special Help Table'!$A358)-LEN(SUBSTITUTE('Special Help Table'!$A358,"editor",""))=6,LEN('Special Help Table'!$A358)-LEN(SUBSTITUTE('Special Help Table'!$A358,"(",""))=0,LEN('Special Help Table'!$A358)-LEN(SUBSTITUTE('Special Help Table'!$A358,"and",""))=3,LEN('Special Help Table'!$A358)-LEN(SUBSTITUTE('Special Help Table'!$A358,",",""))=1,LEN('Special Help Table'!$A358)-LEN(SUBSTITUTE('Special Help Table'!$A358," ",""))=3),'Special Help Table'!$A358)</f>
        <v xml:space="preserve"> Timothy Keller</v>
      </c>
      <c r="C358" s="4" t="s">
        <v>719</v>
      </c>
      <c r="D358" s="2"/>
      <c r="E358" s="2" t="s">
        <v>16</v>
      </c>
      <c r="F358" s="2" t="s">
        <v>36</v>
      </c>
      <c r="G358" s="2"/>
      <c r="H358" s="2"/>
      <c r="I358" s="2"/>
      <c r="J358" s="2"/>
      <c r="K358" s="3">
        <v>41499</v>
      </c>
      <c r="L358" s="2"/>
      <c r="M358" s="2"/>
      <c r="N358" s="2" t="s">
        <v>18</v>
      </c>
    </row>
    <row r="359" spans="1:14" ht="15.75" customHeight="1" x14ac:dyDescent="0.35">
      <c r="A359" s="2" t="s">
        <v>716</v>
      </c>
      <c r="B359" s="2" t="str" cm="1">
        <f t="array" ref="B359">_xlfn.IFS(AND(LEN('Special Help Table'!$A359)-(LEN(SUBSTITUTE('Special Help Table'!$A359,";","")))=0,LEN('Special Help Table'!$A359)-LEN(SUBSTITUTE('Special Help Table'!$A359,",",""))=1,LEN('Special Help Table'!$A359)-LEN(SUBSTITUTE('Special Help Table'!$A359,"and ",""))=0),MID('Special Help Table'!$A359&amp;" "&amp;'Special Help Table'!$A359,SEARCH(", ",'Special Help Table'!$A359)+1,LEN('Special Help Table'!$A359)),AND(LEN('Special Help Table'!$A359)-(LEN(SUBSTITUTE('Special Help Table'!$A359,";","")))=1,LEN('Special Help Table'!$A359)-LEN(SUBSTITUTE('Special Help Table'!$A359,"and ",""))=0),MID('Special Help Table'!$A359,SEARCH(",",'Special Help Table'!$A359)+1,(SEARCH(";",'Special Help Table'!$A359)-1)-SEARCH(",",'Special Help Table'!$A359))&amp;" "&amp;LEFT('Special Help Table'!$A359,SEARCH(",",'Special Help Table'!$A359)-1)&amp;";"&amp;RIGHT('Special Help Table'!$A359,LEN('Special Help Table'!$A359)-SEARCH(",",'Special Help Table'!$A359,SEARCH(";",'Special Help Table'!$A359)))&amp;" "&amp;MID('Special Help Table'!$A359,SEARCH("; ",'Special Help Table'!$A359)+2,SEARCH(",",'Special Help Table'!$A359,SEARCH(";",'Special Help Table'!$A359))-SEARCH(";",'Special Help Table'!$A359)-2),AND(LEN('Special Help Table'!$A359)-LEN(SUBSTITUTE('Special Help Table'!$A359,"and ",""))=0,LEN('Special Help Table'!$A359)-LEN(SUBSTITUTE('Special Help Table'!$A359,";",""))=0),'Special Help Table'!$A359,AND(LEN('Special Help Table'!$A359)-LEN(SUBSTITUTE('Special Help Table'!$A359,",","")=1),LEN('Special Help Table'!$A359)-LEN(SUBSTITUTE('Special Help Table'!$A359," ","")=20),LEN('Special Help Table'!$A359)-LEN(SUBSTITUTE('Special Help Table'!$A359," and",""))=0,LEN('Special Help Table'!$A359)-LEN(SUBSTITUTE('Special Help Table'!$A359,",","",FIND(" ",'Special Help Table'!$A359)+1))=0),RIGHT('Special Help Table'!$A359,LEN('Special Help Table'!$A359)-FIND(", ",'Special Help Table'!$A359))&amp;" "&amp;LEFT('Special Help Table'!$A359,FIND(",",'Special Help Table'!$A359)-1),AND(LEN('Special Help Table'!$A359)-LEN(SUBSTITUTE('Special Help Table'!$A359,"editor",""))=6,LEN('Special Help Table'!$A359)-LEN(SUBSTITUTE('Special Help Table'!$A359,"(",""))=0,LEN('Special Help Table'!$A359)-LEN(SUBSTITUTE('Special Help Table'!$A359,"and",""))=3,LEN('Special Help Table'!$A359)-LEN(SUBSTITUTE('Special Help Table'!$A359,",",""))=1,LEN('Special Help Table'!$A359)-LEN(SUBSTITUTE('Special Help Table'!$A359," ",""))=3),'Special Help Table'!$A359)</f>
        <v xml:space="preserve"> Timothy Keller</v>
      </c>
      <c r="C359" s="4" t="s">
        <v>720</v>
      </c>
      <c r="D359" s="2"/>
      <c r="E359" s="2" t="s">
        <v>16</v>
      </c>
      <c r="F359" s="2" t="s">
        <v>17</v>
      </c>
      <c r="G359" s="2"/>
      <c r="H359" s="2"/>
      <c r="I359" s="2"/>
      <c r="J359" s="2" t="s">
        <v>622</v>
      </c>
      <c r="K359" s="3">
        <v>41133</v>
      </c>
      <c r="L359" s="2"/>
      <c r="M359" s="2"/>
      <c r="N359" s="2" t="s">
        <v>18</v>
      </c>
    </row>
    <row r="360" spans="1:14" ht="15.75" customHeight="1" x14ac:dyDescent="0.35">
      <c r="A360" s="2" t="s">
        <v>716</v>
      </c>
      <c r="B360" s="2" t="str" cm="1">
        <f t="array" ref="B360">_xlfn.IFS(AND(LEN('Special Help Table'!$A360)-(LEN(SUBSTITUTE('Special Help Table'!$A360,";","")))=0,LEN('Special Help Table'!$A360)-LEN(SUBSTITUTE('Special Help Table'!$A360,",",""))=1,LEN('Special Help Table'!$A360)-LEN(SUBSTITUTE('Special Help Table'!$A360,"and ",""))=0),MID('Special Help Table'!$A360&amp;" "&amp;'Special Help Table'!$A360,SEARCH(", ",'Special Help Table'!$A360)+1,LEN('Special Help Table'!$A360)),AND(LEN('Special Help Table'!$A360)-(LEN(SUBSTITUTE('Special Help Table'!$A360,";","")))=1,LEN('Special Help Table'!$A360)-LEN(SUBSTITUTE('Special Help Table'!$A360,"and ",""))=0),MID('Special Help Table'!$A360,SEARCH(",",'Special Help Table'!$A360)+1,(SEARCH(";",'Special Help Table'!$A360)-1)-SEARCH(",",'Special Help Table'!$A360))&amp;" "&amp;LEFT('Special Help Table'!$A360,SEARCH(",",'Special Help Table'!$A360)-1)&amp;";"&amp;RIGHT('Special Help Table'!$A360,LEN('Special Help Table'!$A360)-SEARCH(",",'Special Help Table'!$A360,SEARCH(";",'Special Help Table'!$A360)))&amp;" "&amp;MID('Special Help Table'!$A360,SEARCH("; ",'Special Help Table'!$A360)+2,SEARCH(",",'Special Help Table'!$A360,SEARCH(";",'Special Help Table'!$A360))-SEARCH(";",'Special Help Table'!$A360)-2),AND(LEN('Special Help Table'!$A360)-LEN(SUBSTITUTE('Special Help Table'!$A360,"and ",""))=0,LEN('Special Help Table'!$A360)-LEN(SUBSTITUTE('Special Help Table'!$A360,";",""))=0),'Special Help Table'!$A360,AND(LEN('Special Help Table'!$A360)-LEN(SUBSTITUTE('Special Help Table'!$A360,",","")=1),LEN('Special Help Table'!$A360)-LEN(SUBSTITUTE('Special Help Table'!$A360," ","")=20),LEN('Special Help Table'!$A360)-LEN(SUBSTITUTE('Special Help Table'!$A360," and",""))=0,LEN('Special Help Table'!$A360)-LEN(SUBSTITUTE('Special Help Table'!$A360,",","",FIND(" ",'Special Help Table'!$A360)+1))=0),RIGHT('Special Help Table'!$A360,LEN('Special Help Table'!$A360)-FIND(", ",'Special Help Table'!$A360))&amp;" "&amp;LEFT('Special Help Table'!$A360,FIND(",",'Special Help Table'!$A360)-1),AND(LEN('Special Help Table'!$A360)-LEN(SUBSTITUTE('Special Help Table'!$A360,"editor",""))=6,LEN('Special Help Table'!$A360)-LEN(SUBSTITUTE('Special Help Table'!$A360,"(",""))=0,LEN('Special Help Table'!$A360)-LEN(SUBSTITUTE('Special Help Table'!$A360,"and",""))=3,LEN('Special Help Table'!$A360)-LEN(SUBSTITUTE('Special Help Table'!$A360,",",""))=1,LEN('Special Help Table'!$A360)-LEN(SUBSTITUTE('Special Help Table'!$A360," ",""))=3),'Special Help Table'!$A360)</f>
        <v xml:space="preserve"> Timothy Keller</v>
      </c>
      <c r="C360" s="4" t="s">
        <v>721</v>
      </c>
      <c r="D360" s="2"/>
      <c r="E360" s="2" t="s">
        <v>16</v>
      </c>
      <c r="F360" s="2" t="s">
        <v>36</v>
      </c>
      <c r="G360" s="2"/>
      <c r="H360" s="2"/>
      <c r="I360" s="2"/>
      <c r="J360" s="2"/>
      <c r="K360" s="3">
        <v>43160</v>
      </c>
      <c r="L360" s="2"/>
      <c r="M360" s="2"/>
      <c r="N360" s="2" t="s">
        <v>18</v>
      </c>
    </row>
    <row r="361" spans="1:14" ht="15.75" customHeight="1" x14ac:dyDescent="0.35">
      <c r="A361" s="2" t="s">
        <v>716</v>
      </c>
      <c r="B361" s="2" t="str" cm="1">
        <f t="array" ref="B361">_xlfn.IFS(AND(LEN('Special Help Table'!$A361)-(LEN(SUBSTITUTE('Special Help Table'!$A361,";","")))=0,LEN('Special Help Table'!$A361)-LEN(SUBSTITUTE('Special Help Table'!$A361,",",""))=1,LEN('Special Help Table'!$A361)-LEN(SUBSTITUTE('Special Help Table'!$A361,"and ",""))=0),MID('Special Help Table'!$A361&amp;" "&amp;'Special Help Table'!$A361,SEARCH(", ",'Special Help Table'!$A361)+1,LEN('Special Help Table'!$A361)),AND(LEN('Special Help Table'!$A361)-(LEN(SUBSTITUTE('Special Help Table'!$A361,";","")))=1,LEN('Special Help Table'!$A361)-LEN(SUBSTITUTE('Special Help Table'!$A361,"and ",""))=0),MID('Special Help Table'!$A361,SEARCH(",",'Special Help Table'!$A361)+1,(SEARCH(";",'Special Help Table'!$A361)-1)-SEARCH(",",'Special Help Table'!$A361))&amp;" "&amp;LEFT('Special Help Table'!$A361,SEARCH(",",'Special Help Table'!$A361)-1)&amp;";"&amp;RIGHT('Special Help Table'!$A361,LEN('Special Help Table'!$A361)-SEARCH(",",'Special Help Table'!$A361,SEARCH(";",'Special Help Table'!$A361)))&amp;" "&amp;MID('Special Help Table'!$A361,SEARCH("; ",'Special Help Table'!$A361)+2,SEARCH(",",'Special Help Table'!$A361,SEARCH(";",'Special Help Table'!$A361))-SEARCH(";",'Special Help Table'!$A361)-2),AND(LEN('Special Help Table'!$A361)-LEN(SUBSTITUTE('Special Help Table'!$A361,"and ",""))=0,LEN('Special Help Table'!$A361)-LEN(SUBSTITUTE('Special Help Table'!$A361,";",""))=0),'Special Help Table'!$A361,AND(LEN('Special Help Table'!$A361)-LEN(SUBSTITUTE('Special Help Table'!$A361,",","")=1),LEN('Special Help Table'!$A361)-LEN(SUBSTITUTE('Special Help Table'!$A361," ","")=20),LEN('Special Help Table'!$A361)-LEN(SUBSTITUTE('Special Help Table'!$A361," and",""))=0,LEN('Special Help Table'!$A361)-LEN(SUBSTITUTE('Special Help Table'!$A361,",","",FIND(" ",'Special Help Table'!$A361)+1))=0),RIGHT('Special Help Table'!$A361,LEN('Special Help Table'!$A361)-FIND(", ",'Special Help Table'!$A361))&amp;" "&amp;LEFT('Special Help Table'!$A361,FIND(",",'Special Help Table'!$A361)-1),AND(LEN('Special Help Table'!$A361)-LEN(SUBSTITUTE('Special Help Table'!$A361,"editor",""))=6,LEN('Special Help Table'!$A361)-LEN(SUBSTITUTE('Special Help Table'!$A361,"(",""))=0,LEN('Special Help Table'!$A361)-LEN(SUBSTITUTE('Special Help Table'!$A361,"and",""))=3,LEN('Special Help Table'!$A361)-LEN(SUBSTITUTE('Special Help Table'!$A361,",",""))=1,LEN('Special Help Table'!$A361)-LEN(SUBSTITUTE('Special Help Table'!$A361," ",""))=3),'Special Help Table'!$A361)</f>
        <v xml:space="preserve"> Timothy Keller</v>
      </c>
      <c r="C361" s="4" t="s">
        <v>722</v>
      </c>
      <c r="D361" s="2"/>
      <c r="E361" s="2" t="s">
        <v>16</v>
      </c>
      <c r="F361" s="2" t="s">
        <v>36</v>
      </c>
      <c r="G361" s="2"/>
      <c r="H361" s="2"/>
      <c r="I361" s="2"/>
      <c r="J361" s="2"/>
      <c r="K361" s="3">
        <v>40188</v>
      </c>
      <c r="L361" s="2"/>
      <c r="M361" s="2"/>
      <c r="N361" s="2" t="s">
        <v>18</v>
      </c>
    </row>
    <row r="362" spans="1:14" ht="15.75" customHeight="1" x14ac:dyDescent="0.35">
      <c r="A362" s="2" t="s">
        <v>716</v>
      </c>
      <c r="B362" s="2" t="str" cm="1">
        <f t="array" ref="B362">_xlfn.IFS(AND(LEN('Special Help Table'!$A362)-(LEN(SUBSTITUTE('Special Help Table'!$A362,";","")))=0,LEN('Special Help Table'!$A362)-LEN(SUBSTITUTE('Special Help Table'!$A362,",",""))=1,LEN('Special Help Table'!$A362)-LEN(SUBSTITUTE('Special Help Table'!$A362,"and ",""))=0),MID('Special Help Table'!$A362&amp;" "&amp;'Special Help Table'!$A362,SEARCH(", ",'Special Help Table'!$A362)+1,LEN('Special Help Table'!$A362)),AND(LEN('Special Help Table'!$A362)-(LEN(SUBSTITUTE('Special Help Table'!$A362,";","")))=1,LEN('Special Help Table'!$A362)-LEN(SUBSTITUTE('Special Help Table'!$A362,"and ",""))=0),MID('Special Help Table'!$A362,SEARCH(",",'Special Help Table'!$A362)+1,(SEARCH(";",'Special Help Table'!$A362)-1)-SEARCH(",",'Special Help Table'!$A362))&amp;" "&amp;LEFT('Special Help Table'!$A362,SEARCH(",",'Special Help Table'!$A362)-1)&amp;";"&amp;RIGHT('Special Help Table'!$A362,LEN('Special Help Table'!$A362)-SEARCH(",",'Special Help Table'!$A362,SEARCH(";",'Special Help Table'!$A362)))&amp;" "&amp;MID('Special Help Table'!$A362,SEARCH("; ",'Special Help Table'!$A362)+2,SEARCH(",",'Special Help Table'!$A362,SEARCH(";",'Special Help Table'!$A362))-SEARCH(";",'Special Help Table'!$A362)-2),AND(LEN('Special Help Table'!$A362)-LEN(SUBSTITUTE('Special Help Table'!$A362,"and ",""))=0,LEN('Special Help Table'!$A362)-LEN(SUBSTITUTE('Special Help Table'!$A362,";",""))=0),'Special Help Table'!$A362,AND(LEN('Special Help Table'!$A362)-LEN(SUBSTITUTE('Special Help Table'!$A362,",","")=1),LEN('Special Help Table'!$A362)-LEN(SUBSTITUTE('Special Help Table'!$A362," ","")=20),LEN('Special Help Table'!$A362)-LEN(SUBSTITUTE('Special Help Table'!$A362," and",""))=0,LEN('Special Help Table'!$A362)-LEN(SUBSTITUTE('Special Help Table'!$A362,",","",FIND(" ",'Special Help Table'!$A362)+1))=0),RIGHT('Special Help Table'!$A362,LEN('Special Help Table'!$A362)-FIND(", ",'Special Help Table'!$A362))&amp;" "&amp;LEFT('Special Help Table'!$A362,FIND(",",'Special Help Table'!$A362)-1),AND(LEN('Special Help Table'!$A362)-LEN(SUBSTITUTE('Special Help Table'!$A362,"editor",""))=6,LEN('Special Help Table'!$A362)-LEN(SUBSTITUTE('Special Help Table'!$A362,"(",""))=0,LEN('Special Help Table'!$A362)-LEN(SUBSTITUTE('Special Help Table'!$A362,"and",""))=3,LEN('Special Help Table'!$A362)-LEN(SUBSTITUTE('Special Help Table'!$A362,",",""))=1,LEN('Special Help Table'!$A362)-LEN(SUBSTITUTE('Special Help Table'!$A362," ",""))=3),'Special Help Table'!$A362)</f>
        <v xml:space="preserve"> Timothy Keller</v>
      </c>
      <c r="C362" s="4" t="s">
        <v>723</v>
      </c>
      <c r="D362" s="2"/>
      <c r="E362" s="2" t="s">
        <v>16</v>
      </c>
      <c r="F362" s="2" t="s">
        <v>20</v>
      </c>
      <c r="G362" s="2"/>
      <c r="H362" s="2"/>
      <c r="I362" s="2"/>
      <c r="J362" s="2" t="s">
        <v>142</v>
      </c>
      <c r="K362" s="3">
        <v>41621</v>
      </c>
      <c r="L362" s="2"/>
      <c r="M362" s="2"/>
      <c r="N362" s="2" t="s">
        <v>18</v>
      </c>
    </row>
    <row r="363" spans="1:14" ht="15.75" customHeight="1" x14ac:dyDescent="0.35">
      <c r="A363" s="2" t="s">
        <v>724</v>
      </c>
      <c r="B363" s="2" t="str" cm="1">
        <f t="array" ref="B363">_xlfn.IFS(AND(LEN('Special Help Table'!$A363)-(LEN(SUBSTITUTE('Special Help Table'!$A363,";","")))=0,LEN('Special Help Table'!$A363)-LEN(SUBSTITUTE('Special Help Table'!$A363,",",""))=1,LEN('Special Help Table'!$A363)-LEN(SUBSTITUTE('Special Help Table'!$A363,"and ",""))=0),MID('Special Help Table'!$A363&amp;" "&amp;'Special Help Table'!$A363,SEARCH(", ",'Special Help Table'!$A363)+1,LEN('Special Help Table'!$A363)),AND(LEN('Special Help Table'!$A363)-(LEN(SUBSTITUTE('Special Help Table'!$A363,";","")))=1,LEN('Special Help Table'!$A363)-LEN(SUBSTITUTE('Special Help Table'!$A363,"and ",""))=0),MID('Special Help Table'!$A363,SEARCH(",",'Special Help Table'!$A363)+1,(SEARCH(";",'Special Help Table'!$A363)-1)-SEARCH(",",'Special Help Table'!$A363))&amp;" "&amp;LEFT('Special Help Table'!$A363,SEARCH(",",'Special Help Table'!$A363)-1)&amp;";"&amp;RIGHT('Special Help Table'!$A363,LEN('Special Help Table'!$A363)-SEARCH(",",'Special Help Table'!$A363,SEARCH(";",'Special Help Table'!$A363)))&amp;" "&amp;MID('Special Help Table'!$A363,SEARCH("; ",'Special Help Table'!$A363)+2,SEARCH(",",'Special Help Table'!$A363,SEARCH(";",'Special Help Table'!$A363))-SEARCH(";",'Special Help Table'!$A363)-2),AND(LEN('Special Help Table'!$A363)-LEN(SUBSTITUTE('Special Help Table'!$A363,"and ",""))=0,LEN('Special Help Table'!$A363)-LEN(SUBSTITUTE('Special Help Table'!$A363,";",""))=0),'Special Help Table'!$A363,AND(LEN('Special Help Table'!$A363)-LEN(SUBSTITUTE('Special Help Table'!$A363,",","")=1),LEN('Special Help Table'!$A363)-LEN(SUBSTITUTE('Special Help Table'!$A363," ","")=20),LEN('Special Help Table'!$A363)-LEN(SUBSTITUTE('Special Help Table'!$A363," and",""))=0,LEN('Special Help Table'!$A363)-LEN(SUBSTITUTE('Special Help Table'!$A363,",","",FIND(" ",'Special Help Table'!$A363)+1))=0),RIGHT('Special Help Table'!$A363,LEN('Special Help Table'!$A363)-FIND(", ",'Special Help Table'!$A363))&amp;" "&amp;LEFT('Special Help Table'!$A363,FIND(",",'Special Help Table'!$A363)-1),AND(LEN('Special Help Table'!$A363)-LEN(SUBSTITUTE('Special Help Table'!$A363,"editor",""))=6,LEN('Special Help Table'!$A363)-LEN(SUBSTITUTE('Special Help Table'!$A363,"(",""))=0,LEN('Special Help Table'!$A363)-LEN(SUBSTITUTE('Special Help Table'!$A363,"and",""))=3,LEN('Special Help Table'!$A363)-LEN(SUBSTITUTE('Special Help Table'!$A363,",",""))=1,LEN('Special Help Table'!$A363)-LEN(SUBSTITUTE('Special Help Table'!$A363," ",""))=3),'Special Help Table'!$A363)</f>
        <v xml:space="preserve"> Jared Kennedy</v>
      </c>
      <c r="C363" s="4" t="s">
        <v>725</v>
      </c>
      <c r="D363" s="2"/>
      <c r="E363" s="2" t="s">
        <v>16</v>
      </c>
      <c r="F363" s="2" t="s">
        <v>72</v>
      </c>
      <c r="G363" s="2"/>
      <c r="H363" s="2"/>
      <c r="I363" s="2"/>
      <c r="J363" s="2"/>
      <c r="K363" s="3">
        <v>43040</v>
      </c>
      <c r="L363" s="2"/>
      <c r="M363" s="2"/>
      <c r="N363" s="2" t="s">
        <v>18</v>
      </c>
    </row>
    <row r="364" spans="1:14" ht="15.75" customHeight="1" x14ac:dyDescent="0.35">
      <c r="A364" s="2" t="s">
        <v>726</v>
      </c>
      <c r="B364" s="2" t="str" cm="1">
        <f t="array" ref="B364">_xlfn.IFS(AND(LEN('Special Help Table'!$A364)-(LEN(SUBSTITUTE('Special Help Table'!$A364,";","")))=0,LEN('Special Help Table'!$A364)-LEN(SUBSTITUTE('Special Help Table'!$A364,",",""))=1,LEN('Special Help Table'!$A364)-LEN(SUBSTITUTE('Special Help Table'!$A364,"and ",""))=0),MID('Special Help Table'!$A364&amp;" "&amp;'Special Help Table'!$A364,SEARCH(", ",'Special Help Table'!$A364)+1,LEN('Special Help Table'!$A364)),AND(LEN('Special Help Table'!$A364)-(LEN(SUBSTITUTE('Special Help Table'!$A364,";","")))=1,LEN('Special Help Table'!$A364)-LEN(SUBSTITUTE('Special Help Table'!$A364,"and ",""))=0),MID('Special Help Table'!$A364,SEARCH(",",'Special Help Table'!$A364)+1,(SEARCH(";",'Special Help Table'!$A364)-1)-SEARCH(",",'Special Help Table'!$A364))&amp;" "&amp;LEFT('Special Help Table'!$A364,SEARCH(",",'Special Help Table'!$A364)-1)&amp;";"&amp;RIGHT('Special Help Table'!$A364,LEN('Special Help Table'!$A364)-SEARCH(",",'Special Help Table'!$A364,SEARCH(";",'Special Help Table'!$A364)))&amp;" "&amp;MID('Special Help Table'!$A364,SEARCH("; ",'Special Help Table'!$A364)+2,SEARCH(",",'Special Help Table'!$A364,SEARCH(";",'Special Help Table'!$A364))-SEARCH(";",'Special Help Table'!$A364)-2),AND(LEN('Special Help Table'!$A364)-LEN(SUBSTITUTE('Special Help Table'!$A364,"and ",""))=0,LEN('Special Help Table'!$A364)-LEN(SUBSTITUTE('Special Help Table'!$A364,";",""))=0),'Special Help Table'!$A364,AND(LEN('Special Help Table'!$A364)-LEN(SUBSTITUTE('Special Help Table'!$A364,",","")=1),LEN('Special Help Table'!$A364)-LEN(SUBSTITUTE('Special Help Table'!$A364," ","")=20),LEN('Special Help Table'!$A364)-LEN(SUBSTITUTE('Special Help Table'!$A364," and",""))=0,LEN('Special Help Table'!$A364)-LEN(SUBSTITUTE('Special Help Table'!$A364,",","",FIND(" ",'Special Help Table'!$A364)+1))=0),RIGHT('Special Help Table'!$A364,LEN('Special Help Table'!$A364)-FIND(", ",'Special Help Table'!$A364))&amp;" "&amp;LEFT('Special Help Table'!$A364,FIND(",",'Special Help Table'!$A364)-1),AND(LEN('Special Help Table'!$A364)-LEN(SUBSTITUTE('Special Help Table'!$A364,"editor",""))=6,LEN('Special Help Table'!$A364)-LEN(SUBSTITUTE('Special Help Table'!$A364,"(",""))=0,LEN('Special Help Table'!$A364)-LEN(SUBSTITUTE('Special Help Table'!$A364,"and",""))=3,LEN('Special Help Table'!$A364)-LEN(SUBSTITUTE('Special Help Table'!$A364,",",""))=1,LEN('Special Help Table'!$A364)-LEN(SUBSTITUTE('Special Help Table'!$A364," ",""))=3),'Special Help Table'!$A364)</f>
        <v xml:space="preserve"> Derek Kidner</v>
      </c>
      <c r="C364" s="4" t="s">
        <v>727</v>
      </c>
      <c r="D364" s="2"/>
      <c r="E364" s="2" t="s">
        <v>16</v>
      </c>
      <c r="F364" s="2" t="s">
        <v>76</v>
      </c>
      <c r="G364" s="2"/>
      <c r="H364" s="2"/>
      <c r="I364" s="2"/>
      <c r="J364" s="2"/>
      <c r="K364" s="3">
        <v>40035</v>
      </c>
      <c r="L364" s="2"/>
      <c r="M364" s="2"/>
      <c r="N364" s="2" t="s">
        <v>18</v>
      </c>
    </row>
    <row r="365" spans="1:14" ht="15.75" customHeight="1" x14ac:dyDescent="0.35">
      <c r="A365" s="2" t="s">
        <v>728</v>
      </c>
      <c r="B365" s="2" t="str" cm="1">
        <f t="array" ref="B365">_xlfn.IFS(AND(LEN('Special Help Table'!$A365)-(LEN(SUBSTITUTE('Special Help Table'!$A365,";","")))=0,LEN('Special Help Table'!$A365)-LEN(SUBSTITUTE('Special Help Table'!$A365,",",""))=1,LEN('Special Help Table'!$A365)-LEN(SUBSTITUTE('Special Help Table'!$A365,"and ",""))=0),MID('Special Help Table'!$A365&amp;" "&amp;'Special Help Table'!$A365,SEARCH(", ",'Special Help Table'!$A365)+1,LEN('Special Help Table'!$A365)),AND(LEN('Special Help Table'!$A365)-(LEN(SUBSTITUTE('Special Help Table'!$A365,";","")))=1,LEN('Special Help Table'!$A365)-LEN(SUBSTITUTE('Special Help Table'!$A365,"and ",""))=0),MID('Special Help Table'!$A365,SEARCH(",",'Special Help Table'!$A365)+1,(SEARCH(";",'Special Help Table'!$A365)-1)-SEARCH(",",'Special Help Table'!$A365))&amp;" "&amp;LEFT('Special Help Table'!$A365,SEARCH(",",'Special Help Table'!$A365)-1)&amp;";"&amp;RIGHT('Special Help Table'!$A365,LEN('Special Help Table'!$A365)-SEARCH(",",'Special Help Table'!$A365,SEARCH(";",'Special Help Table'!$A365)))&amp;" "&amp;MID('Special Help Table'!$A365,SEARCH("; ",'Special Help Table'!$A365)+2,SEARCH(",",'Special Help Table'!$A365,SEARCH(";",'Special Help Table'!$A365))-SEARCH(";",'Special Help Table'!$A365)-2),AND(LEN('Special Help Table'!$A365)-LEN(SUBSTITUTE('Special Help Table'!$A365,"and ",""))=0,LEN('Special Help Table'!$A365)-LEN(SUBSTITUTE('Special Help Table'!$A365,";",""))=0),'Special Help Table'!$A365,AND(LEN('Special Help Table'!$A365)-LEN(SUBSTITUTE('Special Help Table'!$A365,",","")=1),LEN('Special Help Table'!$A365)-LEN(SUBSTITUTE('Special Help Table'!$A365," ","")=20),LEN('Special Help Table'!$A365)-LEN(SUBSTITUTE('Special Help Table'!$A365," and",""))=0,LEN('Special Help Table'!$A365)-LEN(SUBSTITUTE('Special Help Table'!$A365,",","",FIND(" ",'Special Help Table'!$A365)+1))=0),RIGHT('Special Help Table'!$A365,LEN('Special Help Table'!$A365)-FIND(", ",'Special Help Table'!$A365))&amp;" "&amp;LEFT('Special Help Table'!$A365,FIND(",",'Special Help Table'!$A365)-1),AND(LEN('Special Help Table'!$A365)-LEN(SUBSTITUTE('Special Help Table'!$A365,"editor",""))=6,LEN('Special Help Table'!$A365)-LEN(SUBSTITUTE('Special Help Table'!$A365,"(",""))=0,LEN('Special Help Table'!$A365)-LEN(SUBSTITUTE('Special Help Table'!$A365,"and",""))=3,LEN('Special Help Table'!$A365)-LEN(SUBSTITUTE('Special Help Table'!$A365,",",""))=1,LEN('Special Help Table'!$A365)-LEN(SUBSTITUTE('Special Help Table'!$A365," ",""))=3),'Special Help Table'!$A365)</f>
        <v xml:space="preserve"> Jack Klumpenhower</v>
      </c>
      <c r="C365" s="4" t="s">
        <v>729</v>
      </c>
      <c r="D365" s="2"/>
      <c r="E365" s="2" t="s">
        <v>16</v>
      </c>
      <c r="F365" s="2" t="s">
        <v>28</v>
      </c>
      <c r="G365" s="2" t="s">
        <v>36</v>
      </c>
      <c r="H365" s="2"/>
      <c r="I365" s="2"/>
      <c r="J365" s="2" t="s">
        <v>730</v>
      </c>
      <c r="K365" s="3">
        <v>42231</v>
      </c>
      <c r="L365" s="2"/>
      <c r="M365" s="2"/>
      <c r="N365" s="2" t="s">
        <v>18</v>
      </c>
    </row>
    <row r="366" spans="1:14" ht="15.75" customHeight="1" x14ac:dyDescent="0.35">
      <c r="A366" s="2" t="s">
        <v>731</v>
      </c>
      <c r="B366" s="2" t="str" cm="1">
        <f t="array" ref="B366">_xlfn.IFS(AND(LEN('Special Help Table'!$A366)-(LEN(SUBSTITUTE('Special Help Table'!$A366,";","")))=0,LEN('Special Help Table'!$A366)-LEN(SUBSTITUTE('Special Help Table'!$A366,",",""))=1,LEN('Special Help Table'!$A366)-LEN(SUBSTITUTE('Special Help Table'!$A366,"and ",""))=0),MID('Special Help Table'!$A366&amp;" "&amp;'Special Help Table'!$A366,SEARCH(", ",'Special Help Table'!$A366)+1,LEN('Special Help Table'!$A366)),AND(LEN('Special Help Table'!$A366)-(LEN(SUBSTITUTE('Special Help Table'!$A366,";","")))=1,LEN('Special Help Table'!$A366)-LEN(SUBSTITUTE('Special Help Table'!$A366,"and ",""))=0),MID('Special Help Table'!$A366,SEARCH(",",'Special Help Table'!$A366)+1,(SEARCH(";",'Special Help Table'!$A366)-1)-SEARCH(",",'Special Help Table'!$A366))&amp;" "&amp;LEFT('Special Help Table'!$A366,SEARCH(",",'Special Help Table'!$A366)-1)&amp;";"&amp;RIGHT('Special Help Table'!$A366,LEN('Special Help Table'!$A366)-SEARCH(",",'Special Help Table'!$A366,SEARCH(";",'Special Help Table'!$A366)))&amp;" "&amp;MID('Special Help Table'!$A366,SEARCH("; ",'Special Help Table'!$A366)+2,SEARCH(",",'Special Help Table'!$A366,SEARCH(";",'Special Help Table'!$A366))-SEARCH(";",'Special Help Table'!$A366)-2),AND(LEN('Special Help Table'!$A366)-LEN(SUBSTITUTE('Special Help Table'!$A366,"and ",""))=0,LEN('Special Help Table'!$A366)-LEN(SUBSTITUTE('Special Help Table'!$A366,";",""))=0),'Special Help Table'!$A366,AND(LEN('Special Help Table'!$A366)-LEN(SUBSTITUTE('Special Help Table'!$A366,",","")=1),LEN('Special Help Table'!$A366)-LEN(SUBSTITUTE('Special Help Table'!$A366," ","")=20),LEN('Special Help Table'!$A366)-LEN(SUBSTITUTE('Special Help Table'!$A366," and",""))=0,LEN('Special Help Table'!$A366)-LEN(SUBSTITUTE('Special Help Table'!$A366,",","",FIND(" ",'Special Help Table'!$A366)+1))=0),RIGHT('Special Help Table'!$A366,LEN('Special Help Table'!$A366)-FIND(", ",'Special Help Table'!$A366))&amp;" "&amp;LEFT('Special Help Table'!$A366,FIND(",",'Special Help Table'!$A366)-1),AND(LEN('Special Help Table'!$A366)-LEN(SUBSTITUTE('Special Help Table'!$A366,"editor",""))=6,LEN('Special Help Table'!$A366)-LEN(SUBSTITUTE('Special Help Table'!$A366,"(",""))=0,LEN('Special Help Table'!$A366)-LEN(SUBSTITUTE('Special Help Table'!$A366,"and",""))=3,LEN('Special Help Table'!$A366)-LEN(SUBSTITUTE('Special Help Table'!$A366,",",""))=1,LEN('Special Help Table'!$A366)-LEN(SUBSTITUTE('Special Help Table'!$A366," ",""))=3),'Special Help Table'!$A366)</f>
        <v xml:space="preserve"> Andreas Kosenberger</v>
      </c>
      <c r="C366" s="4" t="s">
        <v>732</v>
      </c>
      <c r="D366" s="2" t="s">
        <v>733</v>
      </c>
      <c r="E366" s="2" t="s">
        <v>16</v>
      </c>
      <c r="F366" s="2" t="s">
        <v>28</v>
      </c>
      <c r="G366" s="2"/>
      <c r="H366" s="2"/>
      <c r="I366" s="2"/>
      <c r="J366" s="2"/>
      <c r="K366" s="3">
        <v>41804</v>
      </c>
      <c r="L366" s="2"/>
      <c r="M366" s="2"/>
      <c r="N366" s="2" t="s">
        <v>18</v>
      </c>
    </row>
    <row r="367" spans="1:14" ht="15.75" customHeight="1" x14ac:dyDescent="0.35">
      <c r="A367" s="2" t="s">
        <v>734</v>
      </c>
      <c r="B367" s="2" t="str" cm="1">
        <f t="array" ref="B367">_xlfn.IFS(AND(LEN('Special Help Table'!$A367)-(LEN(SUBSTITUTE('Special Help Table'!$A367,";","")))=0,LEN('Special Help Table'!$A367)-LEN(SUBSTITUTE('Special Help Table'!$A367,",",""))=1,LEN('Special Help Table'!$A367)-LEN(SUBSTITUTE('Special Help Table'!$A367,"and ",""))=0),MID('Special Help Table'!$A367&amp;" "&amp;'Special Help Table'!$A367,SEARCH(", ",'Special Help Table'!$A367)+1,LEN('Special Help Table'!$A367)),AND(LEN('Special Help Table'!$A367)-(LEN(SUBSTITUTE('Special Help Table'!$A367,";","")))=1,LEN('Special Help Table'!$A367)-LEN(SUBSTITUTE('Special Help Table'!$A367,"and ",""))=0),MID('Special Help Table'!$A367,SEARCH(",",'Special Help Table'!$A367)+1,(SEARCH(";",'Special Help Table'!$A367)-1)-SEARCH(",",'Special Help Table'!$A367))&amp;" "&amp;LEFT('Special Help Table'!$A367,SEARCH(",",'Special Help Table'!$A367)-1)&amp;";"&amp;RIGHT('Special Help Table'!$A367,LEN('Special Help Table'!$A367)-SEARCH(",",'Special Help Table'!$A367,SEARCH(";",'Special Help Table'!$A367)))&amp;" "&amp;MID('Special Help Table'!$A367,SEARCH("; ",'Special Help Table'!$A367)+2,SEARCH(",",'Special Help Table'!$A367,SEARCH(";",'Special Help Table'!$A367))-SEARCH(";",'Special Help Table'!$A367)-2),AND(LEN('Special Help Table'!$A367)-LEN(SUBSTITUTE('Special Help Table'!$A367,"and ",""))=0,LEN('Special Help Table'!$A367)-LEN(SUBSTITUTE('Special Help Table'!$A367,";",""))=0),'Special Help Table'!$A367,AND(LEN('Special Help Table'!$A367)-LEN(SUBSTITUTE('Special Help Table'!$A367,",","")=1),LEN('Special Help Table'!$A367)-LEN(SUBSTITUTE('Special Help Table'!$A367," ","")=20),LEN('Special Help Table'!$A367)-LEN(SUBSTITUTE('Special Help Table'!$A367," and",""))=0,LEN('Special Help Table'!$A367)-LEN(SUBSTITUTE('Special Help Table'!$A367,",","",FIND(" ",'Special Help Table'!$A367)+1))=0),RIGHT('Special Help Table'!$A367,LEN('Special Help Table'!$A367)-FIND(", ",'Special Help Table'!$A367))&amp;" "&amp;LEFT('Special Help Table'!$A367,FIND(",",'Special Help Table'!$A367)-1),AND(LEN('Special Help Table'!$A367)-LEN(SUBSTITUTE('Special Help Table'!$A367,"editor",""))=6,LEN('Special Help Table'!$A367)-LEN(SUBSTITUTE('Special Help Table'!$A367,"(",""))=0,LEN('Special Help Table'!$A367)-LEN(SUBSTITUTE('Special Help Table'!$A367,"and",""))=3,LEN('Special Help Table'!$A367)-LEN(SUBSTITUTE('Special Help Table'!$A367,",",""))=1,LEN('Special Help Table'!$A367)-LEN(SUBSTITUTE('Special Help Table'!$A367," ",""))=3),'Special Help Table'!$A367)</f>
        <v xml:space="preserve"> Andreas Kostenberger</v>
      </c>
      <c r="C367" s="4" t="s">
        <v>735</v>
      </c>
      <c r="D367" s="2"/>
      <c r="E367" s="2" t="s">
        <v>16</v>
      </c>
      <c r="F367" s="2" t="s">
        <v>92</v>
      </c>
      <c r="G367" s="2"/>
      <c r="H367" s="2"/>
      <c r="I367" s="2"/>
      <c r="J367" s="2"/>
      <c r="K367" s="3">
        <v>41712</v>
      </c>
      <c r="L367" s="2"/>
      <c r="M367" s="2"/>
      <c r="N367" s="2" t="s">
        <v>18</v>
      </c>
    </row>
    <row r="368" spans="1:14" ht="15.75" customHeight="1" x14ac:dyDescent="0.35">
      <c r="A368" s="2" t="s">
        <v>734</v>
      </c>
      <c r="B368" s="2" t="str" cm="1">
        <f t="array" ref="B368">_xlfn.IFS(AND(LEN('Special Help Table'!$A368)-(LEN(SUBSTITUTE('Special Help Table'!$A368,";","")))=0,LEN('Special Help Table'!$A368)-LEN(SUBSTITUTE('Special Help Table'!$A368,",",""))=1,LEN('Special Help Table'!$A368)-LEN(SUBSTITUTE('Special Help Table'!$A368,"and ",""))=0),MID('Special Help Table'!$A368&amp;" "&amp;'Special Help Table'!$A368,SEARCH(", ",'Special Help Table'!$A368)+1,LEN('Special Help Table'!$A368)),AND(LEN('Special Help Table'!$A368)-(LEN(SUBSTITUTE('Special Help Table'!$A368,";","")))=1,LEN('Special Help Table'!$A368)-LEN(SUBSTITUTE('Special Help Table'!$A368,"and ",""))=0),MID('Special Help Table'!$A368,SEARCH(",",'Special Help Table'!$A368)+1,(SEARCH(";",'Special Help Table'!$A368)-1)-SEARCH(",",'Special Help Table'!$A368))&amp;" "&amp;LEFT('Special Help Table'!$A368,SEARCH(",",'Special Help Table'!$A368)-1)&amp;";"&amp;RIGHT('Special Help Table'!$A368,LEN('Special Help Table'!$A368)-SEARCH(",",'Special Help Table'!$A368,SEARCH(";",'Special Help Table'!$A368)))&amp;" "&amp;MID('Special Help Table'!$A368,SEARCH("; ",'Special Help Table'!$A368)+2,SEARCH(",",'Special Help Table'!$A368,SEARCH(";",'Special Help Table'!$A368))-SEARCH(";",'Special Help Table'!$A368)-2),AND(LEN('Special Help Table'!$A368)-LEN(SUBSTITUTE('Special Help Table'!$A368,"and ",""))=0,LEN('Special Help Table'!$A368)-LEN(SUBSTITUTE('Special Help Table'!$A368,";",""))=0),'Special Help Table'!$A368,AND(LEN('Special Help Table'!$A368)-LEN(SUBSTITUTE('Special Help Table'!$A368,",","")=1),LEN('Special Help Table'!$A368)-LEN(SUBSTITUTE('Special Help Table'!$A368," ","")=20),LEN('Special Help Table'!$A368)-LEN(SUBSTITUTE('Special Help Table'!$A368," and",""))=0,LEN('Special Help Table'!$A368)-LEN(SUBSTITUTE('Special Help Table'!$A368,",","",FIND(" ",'Special Help Table'!$A368)+1))=0),RIGHT('Special Help Table'!$A368,LEN('Special Help Table'!$A368)-FIND(", ",'Special Help Table'!$A368))&amp;" "&amp;LEFT('Special Help Table'!$A368,FIND(",",'Special Help Table'!$A368)-1),AND(LEN('Special Help Table'!$A368)-LEN(SUBSTITUTE('Special Help Table'!$A368,"editor",""))=6,LEN('Special Help Table'!$A368)-LEN(SUBSTITUTE('Special Help Table'!$A368,"(",""))=0,LEN('Special Help Table'!$A368)-LEN(SUBSTITUTE('Special Help Table'!$A368,"and",""))=3,LEN('Special Help Table'!$A368)-LEN(SUBSTITUTE('Special Help Table'!$A368,",",""))=1,LEN('Special Help Table'!$A368)-LEN(SUBSTITUTE('Special Help Table'!$A368," ",""))=3),'Special Help Table'!$A368)</f>
        <v xml:space="preserve"> Andreas Kostenberger</v>
      </c>
      <c r="C368" s="4" t="s">
        <v>736</v>
      </c>
      <c r="D368" s="2"/>
      <c r="E368" s="2" t="s">
        <v>16</v>
      </c>
      <c r="F368" s="2" t="s">
        <v>17</v>
      </c>
      <c r="G368" s="2"/>
      <c r="H368" s="2"/>
      <c r="I368" s="2"/>
      <c r="J368" s="2" t="s">
        <v>622</v>
      </c>
      <c r="K368" s="3">
        <v>42511</v>
      </c>
      <c r="L368" s="2"/>
      <c r="M368" s="2"/>
      <c r="N368" s="2" t="s">
        <v>18</v>
      </c>
    </row>
    <row r="369" spans="1:14" ht="15.75" customHeight="1" x14ac:dyDescent="0.35">
      <c r="A369" s="2" t="s">
        <v>734</v>
      </c>
      <c r="B369" s="2" t="str" cm="1">
        <f t="array" ref="B369">_xlfn.IFS(AND(LEN('Special Help Table'!$A369)-(LEN(SUBSTITUTE('Special Help Table'!$A369,";","")))=0,LEN('Special Help Table'!$A369)-LEN(SUBSTITUTE('Special Help Table'!$A369,",",""))=1,LEN('Special Help Table'!$A369)-LEN(SUBSTITUTE('Special Help Table'!$A369,"and ",""))=0),MID('Special Help Table'!$A369&amp;" "&amp;'Special Help Table'!$A369,SEARCH(", ",'Special Help Table'!$A369)+1,LEN('Special Help Table'!$A369)),AND(LEN('Special Help Table'!$A369)-(LEN(SUBSTITUTE('Special Help Table'!$A369,";","")))=1,LEN('Special Help Table'!$A369)-LEN(SUBSTITUTE('Special Help Table'!$A369,"and ",""))=0),MID('Special Help Table'!$A369,SEARCH(",",'Special Help Table'!$A369)+1,(SEARCH(";",'Special Help Table'!$A369)-1)-SEARCH(",",'Special Help Table'!$A369))&amp;" "&amp;LEFT('Special Help Table'!$A369,SEARCH(",",'Special Help Table'!$A369)-1)&amp;";"&amp;RIGHT('Special Help Table'!$A369,LEN('Special Help Table'!$A369)-SEARCH(",",'Special Help Table'!$A369,SEARCH(";",'Special Help Table'!$A369)))&amp;" "&amp;MID('Special Help Table'!$A369,SEARCH("; ",'Special Help Table'!$A369)+2,SEARCH(",",'Special Help Table'!$A369,SEARCH(";",'Special Help Table'!$A369))-SEARCH(";",'Special Help Table'!$A369)-2),AND(LEN('Special Help Table'!$A369)-LEN(SUBSTITUTE('Special Help Table'!$A369,"and ",""))=0,LEN('Special Help Table'!$A369)-LEN(SUBSTITUTE('Special Help Table'!$A369,";",""))=0),'Special Help Table'!$A369,AND(LEN('Special Help Table'!$A369)-LEN(SUBSTITUTE('Special Help Table'!$A369,",","")=1),LEN('Special Help Table'!$A369)-LEN(SUBSTITUTE('Special Help Table'!$A369," ","")=20),LEN('Special Help Table'!$A369)-LEN(SUBSTITUTE('Special Help Table'!$A369," and",""))=0,LEN('Special Help Table'!$A369)-LEN(SUBSTITUTE('Special Help Table'!$A369,",","",FIND(" ",'Special Help Table'!$A369)+1))=0),RIGHT('Special Help Table'!$A369,LEN('Special Help Table'!$A369)-FIND(", ",'Special Help Table'!$A369))&amp;" "&amp;LEFT('Special Help Table'!$A369,FIND(",",'Special Help Table'!$A369)-1),AND(LEN('Special Help Table'!$A369)-LEN(SUBSTITUTE('Special Help Table'!$A369,"editor",""))=6,LEN('Special Help Table'!$A369)-LEN(SUBSTITUTE('Special Help Table'!$A369,"(",""))=0,LEN('Special Help Table'!$A369)-LEN(SUBSTITUTE('Special Help Table'!$A369,"and",""))=3,LEN('Special Help Table'!$A369)-LEN(SUBSTITUTE('Special Help Table'!$A369,",",""))=1,LEN('Special Help Table'!$A369)-LEN(SUBSTITUTE('Special Help Table'!$A369," ",""))=3),'Special Help Table'!$A369)</f>
        <v xml:space="preserve"> Andreas Kostenberger</v>
      </c>
      <c r="C369" s="4" t="s">
        <v>737</v>
      </c>
      <c r="D369" s="2"/>
      <c r="E369" s="2" t="s">
        <v>16</v>
      </c>
      <c r="F369" s="2" t="s">
        <v>20</v>
      </c>
      <c r="G369" s="2"/>
      <c r="H369" s="2"/>
      <c r="I369" s="2"/>
      <c r="J369" s="2" t="s">
        <v>738</v>
      </c>
      <c r="K369" s="3">
        <v>40247</v>
      </c>
      <c r="L369" s="2"/>
      <c r="M369" s="2"/>
      <c r="N369" s="2" t="s">
        <v>18</v>
      </c>
    </row>
    <row r="370" spans="1:14" ht="15.75" customHeight="1" x14ac:dyDescent="0.35">
      <c r="A370" s="2" t="s">
        <v>739</v>
      </c>
      <c r="B370" s="2" t="str" cm="1">
        <f t="array" ref="B370">_xlfn.IFS(AND(LEN('Special Help Table'!$A370)-(LEN(SUBSTITUTE('Special Help Table'!$A370,";","")))=0,LEN('Special Help Table'!$A370)-LEN(SUBSTITUTE('Special Help Table'!$A370,",",""))=1,LEN('Special Help Table'!$A370)-LEN(SUBSTITUTE('Special Help Table'!$A370,"and ",""))=0),MID('Special Help Table'!$A370&amp;" "&amp;'Special Help Table'!$A370,SEARCH(", ",'Special Help Table'!$A370)+1,LEN('Special Help Table'!$A370)),AND(LEN('Special Help Table'!$A370)-(LEN(SUBSTITUTE('Special Help Table'!$A370,";","")))=1,LEN('Special Help Table'!$A370)-LEN(SUBSTITUTE('Special Help Table'!$A370,"and ",""))=0),MID('Special Help Table'!$A370,SEARCH(",",'Special Help Table'!$A370)+1,(SEARCH(";",'Special Help Table'!$A370)-1)-SEARCH(",",'Special Help Table'!$A370))&amp;" "&amp;LEFT('Special Help Table'!$A370,SEARCH(",",'Special Help Table'!$A370)-1)&amp;";"&amp;RIGHT('Special Help Table'!$A370,LEN('Special Help Table'!$A370)-SEARCH(",",'Special Help Table'!$A370,SEARCH(";",'Special Help Table'!$A370)))&amp;" "&amp;MID('Special Help Table'!$A370,SEARCH("; ",'Special Help Table'!$A370)+2,SEARCH(",",'Special Help Table'!$A370,SEARCH(";",'Special Help Table'!$A370))-SEARCH(";",'Special Help Table'!$A370)-2),AND(LEN('Special Help Table'!$A370)-LEN(SUBSTITUTE('Special Help Table'!$A370,"and ",""))=0,LEN('Special Help Table'!$A370)-LEN(SUBSTITUTE('Special Help Table'!$A370,";",""))=0),'Special Help Table'!$A370,AND(LEN('Special Help Table'!$A370)-LEN(SUBSTITUTE('Special Help Table'!$A370,",","")=1),LEN('Special Help Table'!$A370)-LEN(SUBSTITUTE('Special Help Table'!$A370," ","")=20),LEN('Special Help Table'!$A370)-LEN(SUBSTITUTE('Special Help Table'!$A370," and",""))=0,LEN('Special Help Table'!$A370)-LEN(SUBSTITUTE('Special Help Table'!$A370,",","",FIND(" ",'Special Help Table'!$A370)+1))=0),RIGHT('Special Help Table'!$A370,LEN('Special Help Table'!$A370)-FIND(", ",'Special Help Table'!$A370))&amp;" "&amp;LEFT('Special Help Table'!$A370,FIND(",",'Special Help Table'!$A370)-1),AND(LEN('Special Help Table'!$A370)-LEN(SUBSTITUTE('Special Help Table'!$A370,"editor",""))=6,LEN('Special Help Table'!$A370)-LEN(SUBSTITUTE('Special Help Table'!$A370,"(",""))=0,LEN('Special Help Table'!$A370)-LEN(SUBSTITUTE('Special Help Table'!$A370,"and",""))=3,LEN('Special Help Table'!$A370)-LEN(SUBSTITUTE('Special Help Table'!$A370,",",""))=1,LEN('Special Help Table'!$A370)-LEN(SUBSTITUTE('Special Help Table'!$A370," ",""))=3),'Special Help Table'!$A370)</f>
        <v xml:space="preserve"> Melissa Kruger</v>
      </c>
      <c r="C370" s="4" t="s">
        <v>740</v>
      </c>
      <c r="D370" s="2"/>
      <c r="E370" s="2" t="s">
        <v>16</v>
      </c>
      <c r="F370" s="2" t="s">
        <v>72</v>
      </c>
      <c r="G370" s="2"/>
      <c r="H370" s="2"/>
      <c r="I370" s="2"/>
      <c r="J370" s="2"/>
      <c r="K370" s="3">
        <v>43832</v>
      </c>
      <c r="L370" s="2"/>
      <c r="M370" s="2"/>
      <c r="N370" s="2" t="s">
        <v>18</v>
      </c>
    </row>
    <row r="371" spans="1:14" ht="15.75" customHeight="1" x14ac:dyDescent="0.35">
      <c r="A371" s="2" t="s">
        <v>741</v>
      </c>
      <c r="B371" s="2" t="str" cm="1">
        <f t="array" ref="B371">_xlfn.IFS(AND(LEN('Special Help Table'!$A371)-(LEN(SUBSTITUTE('Special Help Table'!$A371,";","")))=0,LEN('Special Help Table'!$A371)-LEN(SUBSTITUTE('Special Help Table'!$A371,",",""))=1,LEN('Special Help Table'!$A371)-LEN(SUBSTITUTE('Special Help Table'!$A371,"and ",""))=0),MID('Special Help Table'!$A371&amp;" "&amp;'Special Help Table'!$A371,SEARCH(", ",'Special Help Table'!$A371)+1,LEN('Special Help Table'!$A371)),AND(LEN('Special Help Table'!$A371)-(LEN(SUBSTITUTE('Special Help Table'!$A371,";","")))=1,LEN('Special Help Table'!$A371)-LEN(SUBSTITUTE('Special Help Table'!$A371,"and ",""))=0),MID('Special Help Table'!$A371,SEARCH(",",'Special Help Table'!$A371)+1,(SEARCH(";",'Special Help Table'!$A371)-1)-SEARCH(",",'Special Help Table'!$A371))&amp;" "&amp;LEFT('Special Help Table'!$A371,SEARCH(",",'Special Help Table'!$A371)-1)&amp;";"&amp;RIGHT('Special Help Table'!$A371,LEN('Special Help Table'!$A371)-SEARCH(",",'Special Help Table'!$A371,SEARCH(";",'Special Help Table'!$A371)))&amp;" "&amp;MID('Special Help Table'!$A371,SEARCH("; ",'Special Help Table'!$A371)+2,SEARCH(",",'Special Help Table'!$A371,SEARCH(";",'Special Help Table'!$A371))-SEARCH(";",'Special Help Table'!$A371)-2),AND(LEN('Special Help Table'!$A371)-LEN(SUBSTITUTE('Special Help Table'!$A371,"and ",""))=0,LEN('Special Help Table'!$A371)-LEN(SUBSTITUTE('Special Help Table'!$A371,";",""))=0),'Special Help Table'!$A371,AND(LEN('Special Help Table'!$A371)-LEN(SUBSTITUTE('Special Help Table'!$A371,",","")=1),LEN('Special Help Table'!$A371)-LEN(SUBSTITUTE('Special Help Table'!$A371," ","")=20),LEN('Special Help Table'!$A371)-LEN(SUBSTITUTE('Special Help Table'!$A371," and",""))=0,LEN('Special Help Table'!$A371)-LEN(SUBSTITUTE('Special Help Table'!$A371,",","",FIND(" ",'Special Help Table'!$A371)+1))=0),RIGHT('Special Help Table'!$A371,LEN('Special Help Table'!$A371)-FIND(", ",'Special Help Table'!$A371))&amp;" "&amp;LEFT('Special Help Table'!$A371,FIND(",",'Special Help Table'!$A371)-1),AND(LEN('Special Help Table'!$A371)-LEN(SUBSTITUTE('Special Help Table'!$A371,"editor",""))=6,LEN('Special Help Table'!$A371)-LEN(SUBSTITUTE('Special Help Table'!$A371,"(",""))=0,LEN('Special Help Table'!$A371)-LEN(SUBSTITUTE('Special Help Table'!$A371,"and",""))=3,LEN('Special Help Table'!$A371)-LEN(SUBSTITUTE('Special Help Table'!$A371,",",""))=1,LEN('Special Help Table'!$A371)-LEN(SUBSTITUTE('Special Help Table'!$A371," ",""))=3),'Special Help Table'!$A371)</f>
        <v xml:space="preserve"> John G Kruis</v>
      </c>
      <c r="C371" s="4" t="s">
        <v>742</v>
      </c>
      <c r="D371" s="2"/>
      <c r="E371" s="2" t="s">
        <v>16</v>
      </c>
      <c r="F371" s="2" t="s">
        <v>17</v>
      </c>
      <c r="G371" s="2"/>
      <c r="H371" s="2"/>
      <c r="I371" s="2"/>
      <c r="J371" s="2" t="s">
        <v>22</v>
      </c>
      <c r="K371" s="3">
        <v>40036</v>
      </c>
      <c r="L371" s="2"/>
      <c r="M371" s="2"/>
      <c r="N371" s="2" t="s">
        <v>18</v>
      </c>
    </row>
    <row r="372" spans="1:14" ht="15.75" customHeight="1" x14ac:dyDescent="0.35">
      <c r="A372" s="2" t="s">
        <v>743</v>
      </c>
      <c r="B372" s="2" t="str" cm="1">
        <f t="array" ref="B372">_xlfn.IFS(AND(LEN('Special Help Table'!$A372)-(LEN(SUBSTITUTE('Special Help Table'!$A372,";","")))=0,LEN('Special Help Table'!$A372)-LEN(SUBSTITUTE('Special Help Table'!$A372,",",""))=1,LEN('Special Help Table'!$A372)-LEN(SUBSTITUTE('Special Help Table'!$A372,"and ",""))=0),MID('Special Help Table'!$A372&amp;" "&amp;'Special Help Table'!$A372,SEARCH(", ",'Special Help Table'!$A372)+1,LEN('Special Help Table'!$A372)),AND(LEN('Special Help Table'!$A372)-(LEN(SUBSTITUTE('Special Help Table'!$A372,";","")))=1,LEN('Special Help Table'!$A372)-LEN(SUBSTITUTE('Special Help Table'!$A372,"and ",""))=0),MID('Special Help Table'!$A372,SEARCH(",",'Special Help Table'!$A372)+1,(SEARCH(";",'Special Help Table'!$A372)-1)-SEARCH(",",'Special Help Table'!$A372))&amp;" "&amp;LEFT('Special Help Table'!$A372,SEARCH(",",'Special Help Table'!$A372)-1)&amp;";"&amp;RIGHT('Special Help Table'!$A372,LEN('Special Help Table'!$A372)-SEARCH(",",'Special Help Table'!$A372,SEARCH(";",'Special Help Table'!$A372)))&amp;" "&amp;MID('Special Help Table'!$A372,SEARCH("; ",'Special Help Table'!$A372)+2,SEARCH(",",'Special Help Table'!$A372,SEARCH(";",'Special Help Table'!$A372))-SEARCH(";",'Special Help Table'!$A372)-2),AND(LEN('Special Help Table'!$A372)-LEN(SUBSTITUTE('Special Help Table'!$A372,"and ",""))=0,LEN('Special Help Table'!$A372)-LEN(SUBSTITUTE('Special Help Table'!$A372,";",""))=0),'Special Help Table'!$A372,AND(LEN('Special Help Table'!$A372)-LEN(SUBSTITUTE('Special Help Table'!$A372,",","")=1),LEN('Special Help Table'!$A372)-LEN(SUBSTITUTE('Special Help Table'!$A372," ","")=20),LEN('Special Help Table'!$A372)-LEN(SUBSTITUTE('Special Help Table'!$A372," and",""))=0,LEN('Special Help Table'!$A372)-LEN(SUBSTITUTE('Special Help Table'!$A372,",","",FIND(" ",'Special Help Table'!$A372)+1))=0),RIGHT('Special Help Table'!$A372,LEN('Special Help Table'!$A372)-FIND(", ",'Special Help Table'!$A372))&amp;" "&amp;LEFT('Special Help Table'!$A372,FIND(",",'Special Help Table'!$A372)-1),AND(LEN('Special Help Table'!$A372)-LEN(SUBSTITUTE('Special Help Table'!$A372,"editor",""))=6,LEN('Special Help Table'!$A372)-LEN(SUBSTITUTE('Special Help Table'!$A372,"(",""))=0,LEN('Special Help Table'!$A372)-LEN(SUBSTITUTE('Special Help Table'!$A372,"and",""))=3,LEN('Special Help Table'!$A372)-LEN(SUBSTITUTE('Special Help Table'!$A372,",",""))=1,LEN('Special Help Table'!$A372)-LEN(SUBSTITUTE('Special Help Table'!$A372," ",""))=3),'Special Help Table'!$A372)</f>
        <v xml:space="preserve"> George Eldon Ladd</v>
      </c>
      <c r="C372" s="4" t="s">
        <v>744</v>
      </c>
      <c r="D372" s="2"/>
      <c r="E372" s="2" t="s">
        <v>16</v>
      </c>
      <c r="F372" s="2" t="s">
        <v>28</v>
      </c>
      <c r="G372" s="2"/>
      <c r="H372" s="2"/>
      <c r="I372" s="2"/>
      <c r="J372" s="2" t="s">
        <v>449</v>
      </c>
      <c r="K372" s="3">
        <v>40037</v>
      </c>
      <c r="L372" s="2"/>
      <c r="M372" s="2"/>
      <c r="N372" s="2" t="s">
        <v>18</v>
      </c>
    </row>
    <row r="373" spans="1:14" ht="15.75" customHeight="1" x14ac:dyDescent="0.35">
      <c r="A373" s="2" t="s">
        <v>745</v>
      </c>
      <c r="B373" s="2" t="str" cm="1">
        <f t="array" ref="B373">_xlfn.IFS(AND(LEN('Special Help Table'!$A373)-(LEN(SUBSTITUTE('Special Help Table'!$A373,";","")))=0,LEN('Special Help Table'!$A373)-LEN(SUBSTITUTE('Special Help Table'!$A373,",",""))=1,LEN('Special Help Table'!$A373)-LEN(SUBSTITUTE('Special Help Table'!$A373,"and ",""))=0),MID('Special Help Table'!$A373&amp;" "&amp;'Special Help Table'!$A373,SEARCH(", ",'Special Help Table'!$A373)+1,LEN('Special Help Table'!$A373)),AND(LEN('Special Help Table'!$A373)-(LEN(SUBSTITUTE('Special Help Table'!$A373,";","")))=1,LEN('Special Help Table'!$A373)-LEN(SUBSTITUTE('Special Help Table'!$A373,"and ",""))=0),MID('Special Help Table'!$A373,SEARCH(",",'Special Help Table'!$A373)+1,(SEARCH(";",'Special Help Table'!$A373)-1)-SEARCH(",",'Special Help Table'!$A373))&amp;" "&amp;LEFT('Special Help Table'!$A373,SEARCH(",",'Special Help Table'!$A373)-1)&amp;";"&amp;RIGHT('Special Help Table'!$A373,LEN('Special Help Table'!$A373)-SEARCH(",",'Special Help Table'!$A373,SEARCH(";",'Special Help Table'!$A373)))&amp;" "&amp;MID('Special Help Table'!$A373,SEARCH("; ",'Special Help Table'!$A373)+2,SEARCH(",",'Special Help Table'!$A373,SEARCH(";",'Special Help Table'!$A373))-SEARCH(";",'Special Help Table'!$A373)-2),AND(LEN('Special Help Table'!$A373)-LEN(SUBSTITUTE('Special Help Table'!$A373,"and ",""))=0,LEN('Special Help Table'!$A373)-LEN(SUBSTITUTE('Special Help Table'!$A373,";",""))=0),'Special Help Table'!$A373,AND(LEN('Special Help Table'!$A373)-LEN(SUBSTITUTE('Special Help Table'!$A373,",","")=1),LEN('Special Help Table'!$A373)-LEN(SUBSTITUTE('Special Help Table'!$A373," ","")=20),LEN('Special Help Table'!$A373)-LEN(SUBSTITUTE('Special Help Table'!$A373," and",""))=0,LEN('Special Help Table'!$A373)-LEN(SUBSTITUTE('Special Help Table'!$A373,",","",FIND(" ",'Special Help Table'!$A373)+1))=0),RIGHT('Special Help Table'!$A373,LEN('Special Help Table'!$A373)-FIND(", ",'Special Help Table'!$A373))&amp;" "&amp;LEFT('Special Help Table'!$A373,FIND(",",'Special Help Table'!$A373)-1),AND(LEN('Special Help Table'!$A373)-LEN(SUBSTITUTE('Special Help Table'!$A373,"editor",""))=6,LEN('Special Help Table'!$A373)-LEN(SUBSTITUTE('Special Help Table'!$A373,"(",""))=0,LEN('Special Help Table'!$A373)-LEN(SUBSTITUTE('Special Help Table'!$A373,"and",""))=3,LEN('Special Help Table'!$A373)-LEN(SUBSTITUTE('Special Help Table'!$A373,",",""))=1,LEN('Special Help Table'!$A373)-LEN(SUBSTITUTE('Special Help Table'!$A373," ",""))=3),'Special Help Table'!$A373)</f>
        <v xml:space="preserve"> Carl Laferton</v>
      </c>
      <c r="C373" s="4" t="s">
        <v>746</v>
      </c>
      <c r="D373" s="2"/>
      <c r="E373" s="2" t="s">
        <v>16</v>
      </c>
      <c r="F373" s="2" t="s">
        <v>20</v>
      </c>
      <c r="G373" s="2"/>
      <c r="H373" s="2"/>
      <c r="I373" s="2"/>
      <c r="J373" s="2" t="s">
        <v>747</v>
      </c>
      <c r="K373" s="3">
        <v>41527</v>
      </c>
      <c r="L373" s="2"/>
      <c r="M373" s="2"/>
      <c r="N373" s="2" t="s">
        <v>18</v>
      </c>
    </row>
    <row r="374" spans="1:14" ht="15.75" customHeight="1" x14ac:dyDescent="0.35">
      <c r="A374" s="2" t="s">
        <v>745</v>
      </c>
      <c r="B374" s="2" t="str" cm="1">
        <f t="array" ref="B374">_xlfn.IFS(AND(LEN('Special Help Table'!$A374)-(LEN(SUBSTITUTE('Special Help Table'!$A374,";","")))=0,LEN('Special Help Table'!$A374)-LEN(SUBSTITUTE('Special Help Table'!$A374,",",""))=1,LEN('Special Help Table'!$A374)-LEN(SUBSTITUTE('Special Help Table'!$A374,"and ",""))=0),MID('Special Help Table'!$A374&amp;" "&amp;'Special Help Table'!$A374,SEARCH(", ",'Special Help Table'!$A374)+1,LEN('Special Help Table'!$A374)),AND(LEN('Special Help Table'!$A374)-(LEN(SUBSTITUTE('Special Help Table'!$A374,";","")))=1,LEN('Special Help Table'!$A374)-LEN(SUBSTITUTE('Special Help Table'!$A374,"and ",""))=0),MID('Special Help Table'!$A374,SEARCH(",",'Special Help Table'!$A374)+1,(SEARCH(";",'Special Help Table'!$A374)-1)-SEARCH(",",'Special Help Table'!$A374))&amp;" "&amp;LEFT('Special Help Table'!$A374,SEARCH(",",'Special Help Table'!$A374)-1)&amp;";"&amp;RIGHT('Special Help Table'!$A374,LEN('Special Help Table'!$A374)-SEARCH(",",'Special Help Table'!$A374,SEARCH(";",'Special Help Table'!$A374)))&amp;" "&amp;MID('Special Help Table'!$A374,SEARCH("; ",'Special Help Table'!$A374)+2,SEARCH(",",'Special Help Table'!$A374,SEARCH(";",'Special Help Table'!$A374))-SEARCH(";",'Special Help Table'!$A374)-2),AND(LEN('Special Help Table'!$A374)-LEN(SUBSTITUTE('Special Help Table'!$A374,"and ",""))=0,LEN('Special Help Table'!$A374)-LEN(SUBSTITUTE('Special Help Table'!$A374,";",""))=0),'Special Help Table'!$A374,AND(LEN('Special Help Table'!$A374)-LEN(SUBSTITUTE('Special Help Table'!$A374,",","")=1),LEN('Special Help Table'!$A374)-LEN(SUBSTITUTE('Special Help Table'!$A374," ","")=20),LEN('Special Help Table'!$A374)-LEN(SUBSTITUTE('Special Help Table'!$A374," and",""))=0,LEN('Special Help Table'!$A374)-LEN(SUBSTITUTE('Special Help Table'!$A374,",","",FIND(" ",'Special Help Table'!$A374)+1))=0),RIGHT('Special Help Table'!$A374,LEN('Special Help Table'!$A374)-FIND(", ",'Special Help Table'!$A374))&amp;" "&amp;LEFT('Special Help Table'!$A374,FIND(",",'Special Help Table'!$A374)-1),AND(LEN('Special Help Table'!$A374)-LEN(SUBSTITUTE('Special Help Table'!$A374,"editor",""))=6,LEN('Special Help Table'!$A374)-LEN(SUBSTITUTE('Special Help Table'!$A374,"(",""))=0,LEN('Special Help Table'!$A374)-LEN(SUBSTITUTE('Special Help Table'!$A374,"and",""))=3,LEN('Special Help Table'!$A374)-LEN(SUBSTITUTE('Special Help Table'!$A374,",",""))=1,LEN('Special Help Table'!$A374)-LEN(SUBSTITUTE('Special Help Table'!$A374," ",""))=3),'Special Help Table'!$A374)</f>
        <v xml:space="preserve"> Carl Laferton</v>
      </c>
      <c r="C374" s="4" t="s">
        <v>748</v>
      </c>
      <c r="D374" s="2"/>
      <c r="E374" s="2" t="s">
        <v>16</v>
      </c>
      <c r="F374" s="2" t="s">
        <v>72</v>
      </c>
      <c r="G374" s="2"/>
      <c r="H374" s="2"/>
      <c r="I374" s="2"/>
      <c r="J374" s="2"/>
      <c r="K374" s="3">
        <v>42476</v>
      </c>
      <c r="L374" s="2"/>
      <c r="M374" s="2"/>
      <c r="N374" s="2" t="s">
        <v>18</v>
      </c>
    </row>
    <row r="375" spans="1:14" ht="15.75" customHeight="1" x14ac:dyDescent="0.35">
      <c r="A375" s="2" t="s">
        <v>749</v>
      </c>
      <c r="B375" s="2" t="str" cm="1">
        <f t="array" ref="B375">_xlfn.IFS(AND(LEN('Special Help Table'!$A375)-(LEN(SUBSTITUTE('Special Help Table'!$A375,";","")))=0,LEN('Special Help Table'!$A375)-LEN(SUBSTITUTE('Special Help Table'!$A375,",",""))=1,LEN('Special Help Table'!$A375)-LEN(SUBSTITUTE('Special Help Table'!$A375,"and ",""))=0),MID('Special Help Table'!$A375&amp;" "&amp;'Special Help Table'!$A375,SEARCH(", ",'Special Help Table'!$A375)+1,LEN('Special Help Table'!$A375)),AND(LEN('Special Help Table'!$A375)-(LEN(SUBSTITUTE('Special Help Table'!$A375,";","")))=1,LEN('Special Help Table'!$A375)-LEN(SUBSTITUTE('Special Help Table'!$A375,"and ",""))=0),MID('Special Help Table'!$A375,SEARCH(",",'Special Help Table'!$A375)+1,(SEARCH(";",'Special Help Table'!$A375)-1)-SEARCH(",",'Special Help Table'!$A375))&amp;" "&amp;LEFT('Special Help Table'!$A375,SEARCH(",",'Special Help Table'!$A375)-1)&amp;";"&amp;RIGHT('Special Help Table'!$A375,LEN('Special Help Table'!$A375)-SEARCH(",",'Special Help Table'!$A375,SEARCH(";",'Special Help Table'!$A375)))&amp;" "&amp;MID('Special Help Table'!$A375,SEARCH("; ",'Special Help Table'!$A375)+2,SEARCH(",",'Special Help Table'!$A375,SEARCH(";",'Special Help Table'!$A375))-SEARCH(";",'Special Help Table'!$A375)-2),AND(LEN('Special Help Table'!$A375)-LEN(SUBSTITUTE('Special Help Table'!$A375,"and ",""))=0,LEN('Special Help Table'!$A375)-LEN(SUBSTITUTE('Special Help Table'!$A375,";",""))=0),'Special Help Table'!$A375,AND(LEN('Special Help Table'!$A375)-LEN(SUBSTITUTE('Special Help Table'!$A375,",","")=1),LEN('Special Help Table'!$A375)-LEN(SUBSTITUTE('Special Help Table'!$A375," ","")=20),LEN('Special Help Table'!$A375)-LEN(SUBSTITUTE('Special Help Table'!$A375," and",""))=0,LEN('Special Help Table'!$A375)-LEN(SUBSTITUTE('Special Help Table'!$A375,",","",FIND(" ",'Special Help Table'!$A375)+1))=0),RIGHT('Special Help Table'!$A375,LEN('Special Help Table'!$A375)-FIND(", ",'Special Help Table'!$A375))&amp;" "&amp;LEFT('Special Help Table'!$A375,FIND(",",'Special Help Table'!$A375)-1),AND(LEN('Special Help Table'!$A375)-LEN(SUBSTITUTE('Special Help Table'!$A375,"editor",""))=6,LEN('Special Help Table'!$A375)-LEN(SUBSTITUTE('Special Help Table'!$A375,"(",""))=0,LEN('Special Help Table'!$A375)-LEN(SUBSTITUTE('Special Help Table'!$A375,"and",""))=3,LEN('Special Help Table'!$A375)-LEN(SUBSTITUTE('Special Help Table'!$A375,",",""))=1,LEN('Special Help Table'!$A375)-LEN(SUBSTITUTE('Special Help Table'!$A375," ",""))=3),'Special Help Table'!$A375)</f>
        <v xml:space="preserve"> David T. Lamb</v>
      </c>
      <c r="C375" s="4" t="s">
        <v>750</v>
      </c>
      <c r="D375" s="2"/>
      <c r="E375" s="2" t="s">
        <v>16</v>
      </c>
      <c r="F375" s="2" t="s">
        <v>28</v>
      </c>
      <c r="G375" s="2"/>
      <c r="H375" s="2"/>
      <c r="I375" s="2"/>
      <c r="J375" s="2"/>
      <c r="K375" s="3">
        <v>42705</v>
      </c>
      <c r="L375" s="2"/>
      <c r="M375" s="2"/>
      <c r="N375" s="2" t="s">
        <v>18</v>
      </c>
    </row>
    <row r="376" spans="1:14" ht="15.75" customHeight="1" x14ac:dyDescent="0.35">
      <c r="A376" s="2" t="s">
        <v>751</v>
      </c>
      <c r="B376" s="2" t="str" cm="1">
        <f t="array" ref="B376">_xlfn.IFS(AND(LEN('Special Help Table'!$A376)-(LEN(SUBSTITUTE('Special Help Table'!$A376,";","")))=0,LEN('Special Help Table'!$A376)-LEN(SUBSTITUTE('Special Help Table'!$A376,",",""))=1,LEN('Special Help Table'!$A376)-LEN(SUBSTITUTE('Special Help Table'!$A376,"and ",""))=0),MID('Special Help Table'!$A376&amp;" "&amp;'Special Help Table'!$A376,SEARCH(", ",'Special Help Table'!$A376)+1,LEN('Special Help Table'!$A376)),AND(LEN('Special Help Table'!$A376)-(LEN(SUBSTITUTE('Special Help Table'!$A376,";","")))=1,LEN('Special Help Table'!$A376)-LEN(SUBSTITUTE('Special Help Table'!$A376,"and ",""))=0),MID('Special Help Table'!$A376,SEARCH(",",'Special Help Table'!$A376)+1,(SEARCH(";",'Special Help Table'!$A376)-1)-SEARCH(",",'Special Help Table'!$A376))&amp;" "&amp;LEFT('Special Help Table'!$A376,SEARCH(",",'Special Help Table'!$A376)-1)&amp;";"&amp;RIGHT('Special Help Table'!$A376,LEN('Special Help Table'!$A376)-SEARCH(",",'Special Help Table'!$A376,SEARCH(";",'Special Help Table'!$A376)))&amp;" "&amp;MID('Special Help Table'!$A376,SEARCH("; ",'Special Help Table'!$A376)+2,SEARCH(",",'Special Help Table'!$A376,SEARCH(";",'Special Help Table'!$A376))-SEARCH(";",'Special Help Table'!$A376)-2),AND(LEN('Special Help Table'!$A376)-LEN(SUBSTITUTE('Special Help Table'!$A376,"and ",""))=0,LEN('Special Help Table'!$A376)-LEN(SUBSTITUTE('Special Help Table'!$A376,";",""))=0),'Special Help Table'!$A376,AND(LEN('Special Help Table'!$A376)-LEN(SUBSTITUTE('Special Help Table'!$A376,",","")=1),LEN('Special Help Table'!$A376)-LEN(SUBSTITUTE('Special Help Table'!$A376," ","")=20),LEN('Special Help Table'!$A376)-LEN(SUBSTITUTE('Special Help Table'!$A376," and",""))=0,LEN('Special Help Table'!$A376)-LEN(SUBSTITUTE('Special Help Table'!$A376,",","",FIND(" ",'Special Help Table'!$A376)+1))=0),RIGHT('Special Help Table'!$A376,LEN('Special Help Table'!$A376)-FIND(", ",'Special Help Table'!$A376))&amp;" "&amp;LEFT('Special Help Table'!$A376,FIND(",",'Special Help Table'!$A376)-1),AND(LEN('Special Help Table'!$A376)-LEN(SUBSTITUTE('Special Help Table'!$A376,"editor",""))=6,LEN('Special Help Table'!$A376)-LEN(SUBSTITUTE('Special Help Table'!$A376,"(",""))=0,LEN('Special Help Table'!$A376)-LEN(SUBSTITUTE('Special Help Table'!$A376,"and",""))=3,LEN('Special Help Table'!$A376)-LEN(SUBSTITUTE('Special Help Table'!$A376,",",""))=1,LEN('Special Help Table'!$A376)-LEN(SUBSTITUTE('Special Help Table'!$A376," ",""))=3),'Special Help Table'!$A376)</f>
        <v xml:space="preserve"> Timothy Lane; Paul David Tripp</v>
      </c>
      <c r="C376" s="4" t="s">
        <v>752</v>
      </c>
      <c r="D376" s="2" t="s">
        <v>753</v>
      </c>
      <c r="E376" s="2" t="s">
        <v>16</v>
      </c>
      <c r="F376" s="2" t="s">
        <v>17</v>
      </c>
      <c r="G376" s="2"/>
      <c r="H376" s="2"/>
      <c r="I376" s="2"/>
      <c r="J376" s="2"/>
      <c r="K376" s="3">
        <v>40038</v>
      </c>
      <c r="L376" s="2"/>
      <c r="M376" s="2"/>
      <c r="N376" s="2" t="s">
        <v>18</v>
      </c>
    </row>
    <row r="377" spans="1:14" ht="15.75" customHeight="1" x14ac:dyDescent="0.35">
      <c r="A377" s="2" t="s">
        <v>751</v>
      </c>
      <c r="B377" s="2" t="str" cm="1">
        <f t="array" ref="B377">_xlfn.IFS(AND(LEN('Special Help Table'!$A377)-(LEN(SUBSTITUTE('Special Help Table'!$A377,";","")))=0,LEN('Special Help Table'!$A377)-LEN(SUBSTITUTE('Special Help Table'!$A377,",",""))=1,LEN('Special Help Table'!$A377)-LEN(SUBSTITUTE('Special Help Table'!$A377,"and ",""))=0),MID('Special Help Table'!$A377&amp;" "&amp;'Special Help Table'!$A377,SEARCH(", ",'Special Help Table'!$A377)+1,LEN('Special Help Table'!$A377)),AND(LEN('Special Help Table'!$A377)-(LEN(SUBSTITUTE('Special Help Table'!$A377,";","")))=1,LEN('Special Help Table'!$A377)-LEN(SUBSTITUTE('Special Help Table'!$A377,"and ",""))=0),MID('Special Help Table'!$A377,SEARCH(",",'Special Help Table'!$A377)+1,(SEARCH(";",'Special Help Table'!$A377)-1)-SEARCH(",",'Special Help Table'!$A377))&amp;" "&amp;LEFT('Special Help Table'!$A377,SEARCH(",",'Special Help Table'!$A377)-1)&amp;";"&amp;RIGHT('Special Help Table'!$A377,LEN('Special Help Table'!$A377)-SEARCH(",",'Special Help Table'!$A377,SEARCH(";",'Special Help Table'!$A377)))&amp;" "&amp;MID('Special Help Table'!$A377,SEARCH("; ",'Special Help Table'!$A377)+2,SEARCH(",",'Special Help Table'!$A377,SEARCH(";",'Special Help Table'!$A377))-SEARCH(";",'Special Help Table'!$A377)-2),AND(LEN('Special Help Table'!$A377)-LEN(SUBSTITUTE('Special Help Table'!$A377,"and ",""))=0,LEN('Special Help Table'!$A377)-LEN(SUBSTITUTE('Special Help Table'!$A377,";",""))=0),'Special Help Table'!$A377,AND(LEN('Special Help Table'!$A377)-LEN(SUBSTITUTE('Special Help Table'!$A377,",","")=1),LEN('Special Help Table'!$A377)-LEN(SUBSTITUTE('Special Help Table'!$A377," ","")=20),LEN('Special Help Table'!$A377)-LEN(SUBSTITUTE('Special Help Table'!$A377," and",""))=0,LEN('Special Help Table'!$A377)-LEN(SUBSTITUTE('Special Help Table'!$A377,",","",FIND(" ",'Special Help Table'!$A377)+1))=0),RIGHT('Special Help Table'!$A377,LEN('Special Help Table'!$A377)-FIND(", ",'Special Help Table'!$A377))&amp;" "&amp;LEFT('Special Help Table'!$A377,FIND(",",'Special Help Table'!$A377)-1),AND(LEN('Special Help Table'!$A377)-LEN(SUBSTITUTE('Special Help Table'!$A377,"editor",""))=6,LEN('Special Help Table'!$A377)-LEN(SUBSTITUTE('Special Help Table'!$A377,"(",""))=0,LEN('Special Help Table'!$A377)-LEN(SUBSTITUTE('Special Help Table'!$A377,"and",""))=3,LEN('Special Help Table'!$A377)-LEN(SUBSTITUTE('Special Help Table'!$A377,",",""))=1,LEN('Special Help Table'!$A377)-LEN(SUBSTITUTE('Special Help Table'!$A377," ",""))=3),'Special Help Table'!$A377)</f>
        <v xml:space="preserve"> Timothy Lane; Paul David Tripp</v>
      </c>
      <c r="C377" s="4" t="s">
        <v>754</v>
      </c>
      <c r="D377" s="2" t="s">
        <v>753</v>
      </c>
      <c r="E377" s="2" t="s">
        <v>16</v>
      </c>
      <c r="F377" s="2" t="s">
        <v>17</v>
      </c>
      <c r="G377" s="2"/>
      <c r="H377" s="2"/>
      <c r="I377" s="2"/>
      <c r="J377" s="2" t="s">
        <v>755</v>
      </c>
      <c r="K377" s="3">
        <v>40735</v>
      </c>
      <c r="L377" s="2"/>
      <c r="M377" s="2"/>
      <c r="N377" s="2" t="s">
        <v>18</v>
      </c>
    </row>
    <row r="378" spans="1:14" ht="15.75" customHeight="1" x14ac:dyDescent="0.35">
      <c r="A378" s="2" t="s">
        <v>756</v>
      </c>
      <c r="B378" s="2" t="str" cm="1">
        <f t="array" ref="B378">_xlfn.IFS(AND(LEN('Special Help Table'!$A378)-(LEN(SUBSTITUTE('Special Help Table'!$A378,";","")))=0,LEN('Special Help Table'!$A378)-LEN(SUBSTITUTE('Special Help Table'!$A378,",",""))=1,LEN('Special Help Table'!$A378)-LEN(SUBSTITUTE('Special Help Table'!$A378,"and ",""))=0),MID('Special Help Table'!$A378&amp;" "&amp;'Special Help Table'!$A378,SEARCH(", ",'Special Help Table'!$A378)+1,LEN('Special Help Table'!$A378)),AND(LEN('Special Help Table'!$A378)-(LEN(SUBSTITUTE('Special Help Table'!$A378,";","")))=1,LEN('Special Help Table'!$A378)-LEN(SUBSTITUTE('Special Help Table'!$A378,"and ",""))=0),MID('Special Help Table'!$A378,SEARCH(",",'Special Help Table'!$A378)+1,(SEARCH(";",'Special Help Table'!$A378)-1)-SEARCH(",",'Special Help Table'!$A378))&amp;" "&amp;LEFT('Special Help Table'!$A378,SEARCH(",",'Special Help Table'!$A378)-1)&amp;";"&amp;RIGHT('Special Help Table'!$A378,LEN('Special Help Table'!$A378)-SEARCH(",",'Special Help Table'!$A378,SEARCH(";",'Special Help Table'!$A378)))&amp;" "&amp;MID('Special Help Table'!$A378,SEARCH("; ",'Special Help Table'!$A378)+2,SEARCH(",",'Special Help Table'!$A378,SEARCH(";",'Special Help Table'!$A378))-SEARCH(";",'Special Help Table'!$A378)-2),AND(LEN('Special Help Table'!$A378)-LEN(SUBSTITUTE('Special Help Table'!$A378,"and ",""))=0,LEN('Special Help Table'!$A378)-LEN(SUBSTITUTE('Special Help Table'!$A378,";",""))=0),'Special Help Table'!$A378,AND(LEN('Special Help Table'!$A378)-LEN(SUBSTITUTE('Special Help Table'!$A378,",","")=1),LEN('Special Help Table'!$A378)-LEN(SUBSTITUTE('Special Help Table'!$A378," ","")=20),LEN('Special Help Table'!$A378)-LEN(SUBSTITUTE('Special Help Table'!$A378," and",""))=0,LEN('Special Help Table'!$A378)-LEN(SUBSTITUTE('Special Help Table'!$A378,",","",FIND(" ",'Special Help Table'!$A378)+1))=0),RIGHT('Special Help Table'!$A378,LEN('Special Help Table'!$A378)-FIND(", ",'Special Help Table'!$A378))&amp;" "&amp;LEFT('Special Help Table'!$A378,FIND(",",'Special Help Table'!$A378)-1),AND(LEN('Special Help Table'!$A378)-LEN(SUBSTITUTE('Special Help Table'!$A378,"editor",""))=6,LEN('Special Help Table'!$A378)-LEN(SUBSTITUTE('Special Help Table'!$A378,"(",""))=0,LEN('Special Help Table'!$A378)-LEN(SUBSTITUTE('Special Help Table'!$A378,"and",""))=3,LEN('Special Help Table'!$A378)-LEN(SUBSTITUTE('Special Help Table'!$A378,",",""))=1,LEN('Special Help Table'!$A378)-LEN(SUBSTITUTE('Special Help Table'!$A378," ",""))=3),'Special Help Table'!$A378)</f>
        <v xml:space="preserve"> Michael Lawrence</v>
      </c>
      <c r="C378" s="4" t="s">
        <v>757</v>
      </c>
      <c r="D378" s="2" t="s">
        <v>307</v>
      </c>
      <c r="E378" s="2" t="s">
        <v>16</v>
      </c>
      <c r="F378" s="2" t="s">
        <v>33</v>
      </c>
      <c r="G378" s="2"/>
      <c r="H378" s="2" t="s">
        <v>307</v>
      </c>
      <c r="I378" s="2"/>
      <c r="J378" s="2"/>
      <c r="K378" s="3">
        <v>43046</v>
      </c>
      <c r="L378" s="2"/>
      <c r="M378" s="2"/>
      <c r="N378" s="2" t="s">
        <v>18</v>
      </c>
    </row>
    <row r="379" spans="1:14" ht="15.75" customHeight="1" x14ac:dyDescent="0.35">
      <c r="A379" s="2" t="s">
        <v>758</v>
      </c>
      <c r="B379" s="2" t="str" cm="1">
        <f t="array" ref="B379">_xlfn.IFS(AND(LEN('Special Help Table'!$A379)-(LEN(SUBSTITUTE('Special Help Table'!$A379,";","")))=0,LEN('Special Help Table'!$A379)-LEN(SUBSTITUTE('Special Help Table'!$A379,",",""))=1,LEN('Special Help Table'!$A379)-LEN(SUBSTITUTE('Special Help Table'!$A379,"and ",""))=0),MID('Special Help Table'!$A379&amp;" "&amp;'Special Help Table'!$A379,SEARCH(", ",'Special Help Table'!$A379)+1,LEN('Special Help Table'!$A379)),AND(LEN('Special Help Table'!$A379)-(LEN(SUBSTITUTE('Special Help Table'!$A379,";","")))=1,LEN('Special Help Table'!$A379)-LEN(SUBSTITUTE('Special Help Table'!$A379,"and ",""))=0),MID('Special Help Table'!$A379,SEARCH(",",'Special Help Table'!$A379)+1,(SEARCH(";",'Special Help Table'!$A379)-1)-SEARCH(",",'Special Help Table'!$A379))&amp;" "&amp;LEFT('Special Help Table'!$A379,SEARCH(",",'Special Help Table'!$A379)-1)&amp;";"&amp;RIGHT('Special Help Table'!$A379,LEN('Special Help Table'!$A379)-SEARCH(",",'Special Help Table'!$A379,SEARCH(";",'Special Help Table'!$A379)))&amp;" "&amp;MID('Special Help Table'!$A379,SEARCH("; ",'Special Help Table'!$A379)+2,SEARCH(",",'Special Help Table'!$A379,SEARCH(";",'Special Help Table'!$A379))-SEARCH(";",'Special Help Table'!$A379)-2),AND(LEN('Special Help Table'!$A379)-LEN(SUBSTITUTE('Special Help Table'!$A379,"and ",""))=0,LEN('Special Help Table'!$A379)-LEN(SUBSTITUTE('Special Help Table'!$A379,";",""))=0),'Special Help Table'!$A379,AND(LEN('Special Help Table'!$A379)-LEN(SUBSTITUTE('Special Help Table'!$A379,",","")=1),LEN('Special Help Table'!$A379)-LEN(SUBSTITUTE('Special Help Table'!$A379," ","")=20),LEN('Special Help Table'!$A379)-LEN(SUBSTITUTE('Special Help Table'!$A379," and",""))=0,LEN('Special Help Table'!$A379)-LEN(SUBSTITUTE('Special Help Table'!$A379,",","",FIND(" ",'Special Help Table'!$A379)+1))=0),RIGHT('Special Help Table'!$A379,LEN('Special Help Table'!$A379)-FIND(", ",'Special Help Table'!$A379))&amp;" "&amp;LEFT('Special Help Table'!$A379,FIND(",",'Special Help Table'!$A379)-1),AND(LEN('Special Help Table'!$A379)-LEN(SUBSTITUTE('Special Help Table'!$A379,"editor",""))=6,LEN('Special Help Table'!$A379)-LEN(SUBSTITUTE('Special Help Table'!$A379,"(",""))=0,LEN('Special Help Table'!$A379)-LEN(SUBSTITUTE('Special Help Table'!$A379,"and",""))=3,LEN('Special Help Table'!$A379)-LEN(SUBSTITUTE('Special Help Table'!$A379,",",""))=1,LEN('Special Help Table'!$A379)-LEN(SUBSTITUTE('Special Help Table'!$A379," ",""))=3),'Special Help Table'!$A379)</f>
        <v xml:space="preserve"> Wendy Lawton</v>
      </c>
      <c r="C379" s="4" t="s">
        <v>759</v>
      </c>
      <c r="D379" s="2" t="s">
        <v>760</v>
      </c>
      <c r="E379" s="2" t="s">
        <v>16</v>
      </c>
      <c r="F379" s="2" t="s">
        <v>151</v>
      </c>
      <c r="G379" s="2"/>
      <c r="H379" s="2"/>
      <c r="I379" s="2"/>
      <c r="J379" s="2"/>
      <c r="K379" s="3">
        <v>40039</v>
      </c>
      <c r="L379" s="2"/>
      <c r="M379" s="2"/>
      <c r="N379" s="2" t="s">
        <v>18</v>
      </c>
    </row>
    <row r="380" spans="1:14" ht="15.75" customHeight="1" x14ac:dyDescent="0.35">
      <c r="A380" s="2" t="s">
        <v>758</v>
      </c>
      <c r="B380" s="2" t="str" cm="1">
        <f t="array" ref="B380">_xlfn.IFS(AND(LEN('Special Help Table'!$A380)-(LEN(SUBSTITUTE('Special Help Table'!$A380,";","")))=0,LEN('Special Help Table'!$A380)-LEN(SUBSTITUTE('Special Help Table'!$A380,",",""))=1,LEN('Special Help Table'!$A380)-LEN(SUBSTITUTE('Special Help Table'!$A380,"and ",""))=0),MID('Special Help Table'!$A380&amp;" "&amp;'Special Help Table'!$A380,SEARCH(", ",'Special Help Table'!$A380)+1,LEN('Special Help Table'!$A380)),AND(LEN('Special Help Table'!$A380)-(LEN(SUBSTITUTE('Special Help Table'!$A380,";","")))=1,LEN('Special Help Table'!$A380)-LEN(SUBSTITUTE('Special Help Table'!$A380,"and ",""))=0),MID('Special Help Table'!$A380,SEARCH(",",'Special Help Table'!$A380)+1,(SEARCH(";",'Special Help Table'!$A380)-1)-SEARCH(",",'Special Help Table'!$A380))&amp;" "&amp;LEFT('Special Help Table'!$A380,SEARCH(",",'Special Help Table'!$A380)-1)&amp;";"&amp;RIGHT('Special Help Table'!$A380,LEN('Special Help Table'!$A380)-SEARCH(",",'Special Help Table'!$A380,SEARCH(";",'Special Help Table'!$A380)))&amp;" "&amp;MID('Special Help Table'!$A380,SEARCH("; ",'Special Help Table'!$A380)+2,SEARCH(",",'Special Help Table'!$A380,SEARCH(";",'Special Help Table'!$A380))-SEARCH(";",'Special Help Table'!$A380)-2),AND(LEN('Special Help Table'!$A380)-LEN(SUBSTITUTE('Special Help Table'!$A380,"and ",""))=0,LEN('Special Help Table'!$A380)-LEN(SUBSTITUTE('Special Help Table'!$A380,";",""))=0),'Special Help Table'!$A380,AND(LEN('Special Help Table'!$A380)-LEN(SUBSTITUTE('Special Help Table'!$A380,",","")=1),LEN('Special Help Table'!$A380)-LEN(SUBSTITUTE('Special Help Table'!$A380," ","")=20),LEN('Special Help Table'!$A380)-LEN(SUBSTITUTE('Special Help Table'!$A380," and",""))=0,LEN('Special Help Table'!$A380)-LEN(SUBSTITUTE('Special Help Table'!$A380,",","",FIND(" ",'Special Help Table'!$A380)+1))=0),RIGHT('Special Help Table'!$A380,LEN('Special Help Table'!$A380)-FIND(", ",'Special Help Table'!$A380))&amp;" "&amp;LEFT('Special Help Table'!$A380,FIND(",",'Special Help Table'!$A380)-1),AND(LEN('Special Help Table'!$A380)-LEN(SUBSTITUTE('Special Help Table'!$A380,"editor",""))=6,LEN('Special Help Table'!$A380)-LEN(SUBSTITUTE('Special Help Table'!$A380,"(",""))=0,LEN('Special Help Table'!$A380)-LEN(SUBSTITUTE('Special Help Table'!$A380,"and",""))=3,LEN('Special Help Table'!$A380)-LEN(SUBSTITUTE('Special Help Table'!$A380,",",""))=1,LEN('Special Help Table'!$A380)-LEN(SUBSTITUTE('Special Help Table'!$A380," ",""))=3),'Special Help Table'!$A380)</f>
        <v xml:space="preserve"> Wendy Lawton</v>
      </c>
      <c r="C380" s="4" t="s">
        <v>761</v>
      </c>
      <c r="D380" s="2" t="s">
        <v>760</v>
      </c>
      <c r="E380" s="2" t="s">
        <v>16</v>
      </c>
      <c r="F380" s="2" t="s">
        <v>151</v>
      </c>
      <c r="G380" s="2"/>
      <c r="H380" s="2"/>
      <c r="I380" s="2"/>
      <c r="J380" s="2"/>
      <c r="K380" s="3">
        <v>40040</v>
      </c>
      <c r="L380" s="2"/>
      <c r="M380" s="2"/>
      <c r="N380" s="2" t="s">
        <v>18</v>
      </c>
    </row>
    <row r="381" spans="1:14" ht="15.75" customHeight="1" x14ac:dyDescent="0.35">
      <c r="A381" s="2" t="s">
        <v>758</v>
      </c>
      <c r="B381" s="2" t="str" cm="1">
        <f t="array" ref="B381">_xlfn.IFS(AND(LEN('Special Help Table'!$A381)-(LEN(SUBSTITUTE('Special Help Table'!$A381,";","")))=0,LEN('Special Help Table'!$A381)-LEN(SUBSTITUTE('Special Help Table'!$A381,",",""))=1,LEN('Special Help Table'!$A381)-LEN(SUBSTITUTE('Special Help Table'!$A381,"and ",""))=0),MID('Special Help Table'!$A381&amp;" "&amp;'Special Help Table'!$A381,SEARCH(", ",'Special Help Table'!$A381)+1,LEN('Special Help Table'!$A381)),AND(LEN('Special Help Table'!$A381)-(LEN(SUBSTITUTE('Special Help Table'!$A381,";","")))=1,LEN('Special Help Table'!$A381)-LEN(SUBSTITUTE('Special Help Table'!$A381,"and ",""))=0),MID('Special Help Table'!$A381,SEARCH(",",'Special Help Table'!$A381)+1,(SEARCH(";",'Special Help Table'!$A381)-1)-SEARCH(",",'Special Help Table'!$A381))&amp;" "&amp;LEFT('Special Help Table'!$A381,SEARCH(",",'Special Help Table'!$A381)-1)&amp;";"&amp;RIGHT('Special Help Table'!$A381,LEN('Special Help Table'!$A381)-SEARCH(",",'Special Help Table'!$A381,SEARCH(";",'Special Help Table'!$A381)))&amp;" "&amp;MID('Special Help Table'!$A381,SEARCH("; ",'Special Help Table'!$A381)+2,SEARCH(",",'Special Help Table'!$A381,SEARCH(";",'Special Help Table'!$A381))-SEARCH(";",'Special Help Table'!$A381)-2),AND(LEN('Special Help Table'!$A381)-LEN(SUBSTITUTE('Special Help Table'!$A381,"and ",""))=0,LEN('Special Help Table'!$A381)-LEN(SUBSTITUTE('Special Help Table'!$A381,";",""))=0),'Special Help Table'!$A381,AND(LEN('Special Help Table'!$A381)-LEN(SUBSTITUTE('Special Help Table'!$A381,",","")=1),LEN('Special Help Table'!$A381)-LEN(SUBSTITUTE('Special Help Table'!$A381," ","")=20),LEN('Special Help Table'!$A381)-LEN(SUBSTITUTE('Special Help Table'!$A381," and",""))=0,LEN('Special Help Table'!$A381)-LEN(SUBSTITUTE('Special Help Table'!$A381,",","",FIND(" ",'Special Help Table'!$A381)+1))=0),RIGHT('Special Help Table'!$A381,LEN('Special Help Table'!$A381)-FIND(", ",'Special Help Table'!$A381))&amp;" "&amp;LEFT('Special Help Table'!$A381,FIND(",",'Special Help Table'!$A381)-1),AND(LEN('Special Help Table'!$A381)-LEN(SUBSTITUTE('Special Help Table'!$A381,"editor",""))=6,LEN('Special Help Table'!$A381)-LEN(SUBSTITUTE('Special Help Table'!$A381,"(",""))=0,LEN('Special Help Table'!$A381)-LEN(SUBSTITUTE('Special Help Table'!$A381,"and",""))=3,LEN('Special Help Table'!$A381)-LEN(SUBSTITUTE('Special Help Table'!$A381,",",""))=1,LEN('Special Help Table'!$A381)-LEN(SUBSTITUTE('Special Help Table'!$A381," ",""))=3),'Special Help Table'!$A381)</f>
        <v xml:space="preserve"> Wendy Lawton</v>
      </c>
      <c r="C381" s="4" t="s">
        <v>762</v>
      </c>
      <c r="D381" s="2" t="s">
        <v>760</v>
      </c>
      <c r="E381" s="2" t="s">
        <v>16</v>
      </c>
      <c r="F381" s="2" t="s">
        <v>151</v>
      </c>
      <c r="G381" s="2"/>
      <c r="H381" s="2"/>
      <c r="I381" s="2"/>
      <c r="J381" s="2"/>
      <c r="K381" s="3">
        <v>40041</v>
      </c>
      <c r="L381" s="2"/>
      <c r="M381" s="2"/>
      <c r="N381" s="2" t="s">
        <v>18</v>
      </c>
    </row>
    <row r="382" spans="1:14" ht="15.75" customHeight="1" x14ac:dyDescent="0.35">
      <c r="A382" s="2" t="s">
        <v>763</v>
      </c>
      <c r="B382" s="2" t="str" cm="1">
        <f t="array" ref="B382">_xlfn.IFS(AND(LEN('Special Help Table'!$A382)-(LEN(SUBSTITUTE('Special Help Table'!$A382,";","")))=0,LEN('Special Help Table'!$A382)-LEN(SUBSTITUTE('Special Help Table'!$A382,",",""))=1,LEN('Special Help Table'!$A382)-LEN(SUBSTITUTE('Special Help Table'!$A382,"and ",""))=0),MID('Special Help Table'!$A382&amp;" "&amp;'Special Help Table'!$A382,SEARCH(", ",'Special Help Table'!$A382)+1,LEN('Special Help Table'!$A382)),AND(LEN('Special Help Table'!$A382)-(LEN(SUBSTITUTE('Special Help Table'!$A382,";","")))=1,LEN('Special Help Table'!$A382)-LEN(SUBSTITUTE('Special Help Table'!$A382,"and ",""))=0),MID('Special Help Table'!$A382,SEARCH(",",'Special Help Table'!$A382)+1,(SEARCH(";",'Special Help Table'!$A382)-1)-SEARCH(",",'Special Help Table'!$A382))&amp;" "&amp;LEFT('Special Help Table'!$A382,SEARCH(",",'Special Help Table'!$A382)-1)&amp;";"&amp;RIGHT('Special Help Table'!$A382,LEN('Special Help Table'!$A382)-SEARCH(",",'Special Help Table'!$A382,SEARCH(";",'Special Help Table'!$A382)))&amp;" "&amp;MID('Special Help Table'!$A382,SEARCH("; ",'Special Help Table'!$A382)+2,SEARCH(",",'Special Help Table'!$A382,SEARCH(";",'Special Help Table'!$A382))-SEARCH(";",'Special Help Table'!$A382)-2),AND(LEN('Special Help Table'!$A382)-LEN(SUBSTITUTE('Special Help Table'!$A382,"and ",""))=0,LEN('Special Help Table'!$A382)-LEN(SUBSTITUTE('Special Help Table'!$A382,";",""))=0),'Special Help Table'!$A382,AND(LEN('Special Help Table'!$A382)-LEN(SUBSTITUTE('Special Help Table'!$A382,",","")=1),LEN('Special Help Table'!$A382)-LEN(SUBSTITUTE('Special Help Table'!$A382," ","")=20),LEN('Special Help Table'!$A382)-LEN(SUBSTITUTE('Special Help Table'!$A382," and",""))=0,LEN('Special Help Table'!$A382)-LEN(SUBSTITUTE('Special Help Table'!$A382,",","",FIND(" ",'Special Help Table'!$A382)+1))=0),RIGHT('Special Help Table'!$A382,LEN('Special Help Table'!$A382)-FIND(", ",'Special Help Table'!$A382))&amp;" "&amp;LEFT('Special Help Table'!$A382,FIND(",",'Special Help Table'!$A382)-1),AND(LEN('Special Help Table'!$A382)-LEN(SUBSTITUTE('Special Help Table'!$A382,"editor",""))=6,LEN('Special Help Table'!$A382)-LEN(SUBSTITUTE('Special Help Table'!$A382,"(",""))=0,LEN('Special Help Table'!$A382)-LEN(SUBSTITUTE('Special Help Table'!$A382,"and",""))=3,LEN('Special Help Table'!$A382)-LEN(SUBSTITUTE('Special Help Table'!$A382,",",""))=1,LEN('Special Help Table'!$A382)-LEN(SUBSTITUTE('Special Help Table'!$A382," ",""))=3),'Special Help Table'!$A382)</f>
        <v xml:space="preserve"> Frederick S Leahy</v>
      </c>
      <c r="C382" s="4" t="s">
        <v>764</v>
      </c>
      <c r="D382" s="2"/>
      <c r="E382" s="2" t="s">
        <v>16</v>
      </c>
      <c r="F382" s="2" t="s">
        <v>36</v>
      </c>
      <c r="G382" s="2"/>
      <c r="H382" s="2"/>
      <c r="I382" s="2"/>
      <c r="J382" s="2"/>
      <c r="K382" s="3">
        <v>40043</v>
      </c>
      <c r="L382" s="2"/>
      <c r="M382" s="2"/>
      <c r="N382" s="2" t="s">
        <v>18</v>
      </c>
    </row>
    <row r="383" spans="1:14" ht="15.75" customHeight="1" x14ac:dyDescent="0.35">
      <c r="A383" s="2" t="s">
        <v>765</v>
      </c>
      <c r="B383" s="2" t="str" cm="1">
        <f t="array" ref="B383">_xlfn.IFS(AND(LEN('Special Help Table'!$A383)-(LEN(SUBSTITUTE('Special Help Table'!$A383,";","")))=0,LEN('Special Help Table'!$A383)-LEN(SUBSTITUTE('Special Help Table'!$A383,",",""))=1,LEN('Special Help Table'!$A383)-LEN(SUBSTITUTE('Special Help Table'!$A383,"and ",""))=0),MID('Special Help Table'!$A383&amp;" "&amp;'Special Help Table'!$A383,SEARCH(", ",'Special Help Table'!$A383)+1,LEN('Special Help Table'!$A383)),AND(LEN('Special Help Table'!$A383)-(LEN(SUBSTITUTE('Special Help Table'!$A383,";","")))=1,LEN('Special Help Table'!$A383)-LEN(SUBSTITUTE('Special Help Table'!$A383,"and ",""))=0),MID('Special Help Table'!$A383,SEARCH(",",'Special Help Table'!$A383)+1,(SEARCH(";",'Special Help Table'!$A383)-1)-SEARCH(",",'Special Help Table'!$A383))&amp;" "&amp;LEFT('Special Help Table'!$A383,SEARCH(",",'Special Help Table'!$A383)-1)&amp;";"&amp;RIGHT('Special Help Table'!$A383,LEN('Special Help Table'!$A383)-SEARCH(",",'Special Help Table'!$A383,SEARCH(";",'Special Help Table'!$A383)))&amp;" "&amp;MID('Special Help Table'!$A383,SEARCH("; ",'Special Help Table'!$A383)+2,SEARCH(",",'Special Help Table'!$A383,SEARCH(";",'Special Help Table'!$A383))-SEARCH(";",'Special Help Table'!$A383)-2),AND(LEN('Special Help Table'!$A383)-LEN(SUBSTITUTE('Special Help Table'!$A383,"and ",""))=0,LEN('Special Help Table'!$A383)-LEN(SUBSTITUTE('Special Help Table'!$A383,";",""))=0),'Special Help Table'!$A383,AND(LEN('Special Help Table'!$A383)-LEN(SUBSTITUTE('Special Help Table'!$A383,",","")=1),LEN('Special Help Table'!$A383)-LEN(SUBSTITUTE('Special Help Table'!$A383," ","")=20),LEN('Special Help Table'!$A383)-LEN(SUBSTITUTE('Special Help Table'!$A383," and",""))=0,LEN('Special Help Table'!$A383)-LEN(SUBSTITUTE('Special Help Table'!$A383,",","",FIND(" ",'Special Help Table'!$A383)+1))=0),RIGHT('Special Help Table'!$A383,LEN('Special Help Table'!$A383)-FIND(", ",'Special Help Table'!$A383))&amp;" "&amp;LEFT('Special Help Table'!$A383,FIND(",",'Special Help Table'!$A383)-1),AND(LEN('Special Help Table'!$A383)-LEN(SUBSTITUTE('Special Help Table'!$A383,"editor",""))=6,LEN('Special Help Table'!$A383)-LEN(SUBSTITUTE('Special Help Table'!$A383,"(",""))=0,LEN('Special Help Table'!$A383)-LEN(SUBSTITUTE('Special Help Table'!$A383,"and",""))=3,LEN('Special Help Table'!$A383)-LEN(SUBSTITUTE('Special Help Table'!$A383,",",""))=1,LEN('Special Help Table'!$A383)-LEN(SUBSTITUTE('Special Help Table'!$A383," ",""))=3),'Special Help Table'!$A383)</f>
        <v xml:space="preserve"> Jonathan Leeman</v>
      </c>
      <c r="C383" s="4" t="s">
        <v>766</v>
      </c>
      <c r="D383" s="2" t="s">
        <v>307</v>
      </c>
      <c r="E383" s="2" t="s">
        <v>16</v>
      </c>
      <c r="F383" s="2" t="s">
        <v>33</v>
      </c>
      <c r="G383" s="2"/>
      <c r="H383" s="2" t="s">
        <v>307</v>
      </c>
      <c r="I383" s="2"/>
      <c r="J383" s="2"/>
      <c r="K383" s="3">
        <v>40705</v>
      </c>
      <c r="L383" s="2"/>
      <c r="M383" s="2"/>
      <c r="N383" s="2" t="s">
        <v>18</v>
      </c>
    </row>
    <row r="384" spans="1:14" ht="15.75" customHeight="1" x14ac:dyDescent="0.35">
      <c r="A384" s="2" t="s">
        <v>765</v>
      </c>
      <c r="B384" s="2" t="str" cm="1">
        <f t="array" ref="B384">_xlfn.IFS(AND(LEN('Special Help Table'!$A384)-(LEN(SUBSTITUTE('Special Help Table'!$A384,";","")))=0,LEN('Special Help Table'!$A384)-LEN(SUBSTITUTE('Special Help Table'!$A384,",",""))=1,LEN('Special Help Table'!$A384)-LEN(SUBSTITUTE('Special Help Table'!$A384,"and ",""))=0),MID('Special Help Table'!$A384&amp;" "&amp;'Special Help Table'!$A384,SEARCH(", ",'Special Help Table'!$A384)+1,LEN('Special Help Table'!$A384)),AND(LEN('Special Help Table'!$A384)-(LEN(SUBSTITUTE('Special Help Table'!$A384,";","")))=1,LEN('Special Help Table'!$A384)-LEN(SUBSTITUTE('Special Help Table'!$A384,"and ",""))=0),MID('Special Help Table'!$A384,SEARCH(",",'Special Help Table'!$A384)+1,(SEARCH(";",'Special Help Table'!$A384)-1)-SEARCH(",",'Special Help Table'!$A384))&amp;" "&amp;LEFT('Special Help Table'!$A384,SEARCH(",",'Special Help Table'!$A384)-1)&amp;";"&amp;RIGHT('Special Help Table'!$A384,LEN('Special Help Table'!$A384)-SEARCH(",",'Special Help Table'!$A384,SEARCH(";",'Special Help Table'!$A384)))&amp;" "&amp;MID('Special Help Table'!$A384,SEARCH("; ",'Special Help Table'!$A384)+2,SEARCH(",",'Special Help Table'!$A384,SEARCH(";",'Special Help Table'!$A384))-SEARCH(";",'Special Help Table'!$A384)-2),AND(LEN('Special Help Table'!$A384)-LEN(SUBSTITUTE('Special Help Table'!$A384,"and ",""))=0,LEN('Special Help Table'!$A384)-LEN(SUBSTITUTE('Special Help Table'!$A384,";",""))=0),'Special Help Table'!$A384,AND(LEN('Special Help Table'!$A384)-LEN(SUBSTITUTE('Special Help Table'!$A384,",","")=1),LEN('Special Help Table'!$A384)-LEN(SUBSTITUTE('Special Help Table'!$A384," ","")=20),LEN('Special Help Table'!$A384)-LEN(SUBSTITUTE('Special Help Table'!$A384," and",""))=0,LEN('Special Help Table'!$A384)-LEN(SUBSTITUTE('Special Help Table'!$A384,",","",FIND(" ",'Special Help Table'!$A384)+1))=0),RIGHT('Special Help Table'!$A384,LEN('Special Help Table'!$A384)-FIND(", ",'Special Help Table'!$A384))&amp;" "&amp;LEFT('Special Help Table'!$A384,FIND(",",'Special Help Table'!$A384)-1),AND(LEN('Special Help Table'!$A384)-LEN(SUBSTITUTE('Special Help Table'!$A384,"editor",""))=6,LEN('Special Help Table'!$A384)-LEN(SUBSTITUTE('Special Help Table'!$A384,"(",""))=0,LEN('Special Help Table'!$A384)-LEN(SUBSTITUTE('Special Help Table'!$A384,"and",""))=3,LEN('Special Help Table'!$A384)-LEN(SUBSTITUTE('Special Help Table'!$A384,",",""))=1,LEN('Special Help Table'!$A384)-LEN(SUBSTITUTE('Special Help Table'!$A384," ",""))=3),'Special Help Table'!$A384)</f>
        <v xml:space="preserve"> Jonathan Leeman</v>
      </c>
      <c r="C384" s="4" t="s">
        <v>767</v>
      </c>
      <c r="D384" s="2" t="s">
        <v>307</v>
      </c>
      <c r="E384" s="2" t="s">
        <v>16</v>
      </c>
      <c r="F384" s="2" t="s">
        <v>33</v>
      </c>
      <c r="G384" s="2"/>
      <c r="H384" s="2" t="s">
        <v>307</v>
      </c>
      <c r="I384" s="2"/>
      <c r="J384" s="2" t="s">
        <v>767</v>
      </c>
      <c r="K384" s="3">
        <v>41041</v>
      </c>
      <c r="L384" s="2"/>
      <c r="M384" s="2"/>
      <c r="N384" s="2" t="s">
        <v>18</v>
      </c>
    </row>
    <row r="385" spans="1:14" ht="15.75" customHeight="1" x14ac:dyDescent="0.35">
      <c r="A385" s="2" t="s">
        <v>765</v>
      </c>
      <c r="B385" s="2" t="str" cm="1">
        <f t="array" ref="B385">_xlfn.IFS(AND(LEN('Special Help Table'!$A385)-(LEN(SUBSTITUTE('Special Help Table'!$A385,";","")))=0,LEN('Special Help Table'!$A385)-LEN(SUBSTITUTE('Special Help Table'!$A385,",",""))=1,LEN('Special Help Table'!$A385)-LEN(SUBSTITUTE('Special Help Table'!$A385,"and ",""))=0),MID('Special Help Table'!$A385&amp;" "&amp;'Special Help Table'!$A385,SEARCH(", ",'Special Help Table'!$A385)+1,LEN('Special Help Table'!$A385)),AND(LEN('Special Help Table'!$A385)-(LEN(SUBSTITUTE('Special Help Table'!$A385,";","")))=1,LEN('Special Help Table'!$A385)-LEN(SUBSTITUTE('Special Help Table'!$A385,"and ",""))=0),MID('Special Help Table'!$A385,SEARCH(",",'Special Help Table'!$A385)+1,(SEARCH(";",'Special Help Table'!$A385)-1)-SEARCH(",",'Special Help Table'!$A385))&amp;" "&amp;LEFT('Special Help Table'!$A385,SEARCH(",",'Special Help Table'!$A385)-1)&amp;";"&amp;RIGHT('Special Help Table'!$A385,LEN('Special Help Table'!$A385)-SEARCH(",",'Special Help Table'!$A385,SEARCH(";",'Special Help Table'!$A385)))&amp;" "&amp;MID('Special Help Table'!$A385,SEARCH("; ",'Special Help Table'!$A385)+2,SEARCH(",",'Special Help Table'!$A385,SEARCH(";",'Special Help Table'!$A385))-SEARCH(";",'Special Help Table'!$A385)-2),AND(LEN('Special Help Table'!$A385)-LEN(SUBSTITUTE('Special Help Table'!$A385,"and ",""))=0,LEN('Special Help Table'!$A385)-LEN(SUBSTITUTE('Special Help Table'!$A385,";",""))=0),'Special Help Table'!$A385,AND(LEN('Special Help Table'!$A385)-LEN(SUBSTITUTE('Special Help Table'!$A385,",","")=1),LEN('Special Help Table'!$A385)-LEN(SUBSTITUTE('Special Help Table'!$A385," ","")=20),LEN('Special Help Table'!$A385)-LEN(SUBSTITUTE('Special Help Table'!$A385," and",""))=0,LEN('Special Help Table'!$A385)-LEN(SUBSTITUTE('Special Help Table'!$A385,",","",FIND(" ",'Special Help Table'!$A385)+1))=0),RIGHT('Special Help Table'!$A385,LEN('Special Help Table'!$A385)-FIND(", ",'Special Help Table'!$A385))&amp;" "&amp;LEFT('Special Help Table'!$A385,FIND(",",'Special Help Table'!$A385)-1),AND(LEN('Special Help Table'!$A385)-LEN(SUBSTITUTE('Special Help Table'!$A385,"editor",""))=6,LEN('Special Help Table'!$A385)-LEN(SUBSTITUTE('Special Help Table'!$A385,"(",""))=0,LEN('Special Help Table'!$A385)-LEN(SUBSTITUTE('Special Help Table'!$A385,"and",""))=3,LEN('Special Help Table'!$A385)-LEN(SUBSTITUTE('Special Help Table'!$A385,",",""))=1,LEN('Special Help Table'!$A385)-LEN(SUBSTITUTE('Special Help Table'!$A385," ",""))=3),'Special Help Table'!$A385)</f>
        <v xml:space="preserve"> Jonathan Leeman</v>
      </c>
      <c r="C385" s="4" t="s">
        <v>49</v>
      </c>
      <c r="D385" s="2" t="s">
        <v>307</v>
      </c>
      <c r="E385" s="2" t="s">
        <v>16</v>
      </c>
      <c r="F385" s="2" t="s">
        <v>33</v>
      </c>
      <c r="G385" s="2"/>
      <c r="H385" s="2" t="s">
        <v>307</v>
      </c>
      <c r="I385" s="2"/>
      <c r="J385" s="2" t="s">
        <v>49</v>
      </c>
      <c r="K385" s="3">
        <v>41041</v>
      </c>
      <c r="L385" s="2"/>
      <c r="M385" s="2"/>
      <c r="N385" s="2" t="s">
        <v>18</v>
      </c>
    </row>
    <row r="386" spans="1:14" ht="15.75" customHeight="1" x14ac:dyDescent="0.35">
      <c r="A386" s="2" t="s">
        <v>765</v>
      </c>
      <c r="B386" s="2" t="str" cm="1">
        <f t="array" ref="B386">_xlfn.IFS(AND(LEN('Special Help Table'!$A386)-(LEN(SUBSTITUTE('Special Help Table'!$A386,";","")))=0,LEN('Special Help Table'!$A386)-LEN(SUBSTITUTE('Special Help Table'!$A386,",",""))=1,LEN('Special Help Table'!$A386)-LEN(SUBSTITUTE('Special Help Table'!$A386,"and ",""))=0),MID('Special Help Table'!$A386&amp;" "&amp;'Special Help Table'!$A386,SEARCH(", ",'Special Help Table'!$A386)+1,LEN('Special Help Table'!$A386)),AND(LEN('Special Help Table'!$A386)-(LEN(SUBSTITUTE('Special Help Table'!$A386,";","")))=1,LEN('Special Help Table'!$A386)-LEN(SUBSTITUTE('Special Help Table'!$A386,"and ",""))=0),MID('Special Help Table'!$A386,SEARCH(",",'Special Help Table'!$A386)+1,(SEARCH(";",'Special Help Table'!$A386)-1)-SEARCH(",",'Special Help Table'!$A386))&amp;" "&amp;LEFT('Special Help Table'!$A386,SEARCH(",",'Special Help Table'!$A386)-1)&amp;";"&amp;RIGHT('Special Help Table'!$A386,LEN('Special Help Table'!$A386)-SEARCH(",",'Special Help Table'!$A386,SEARCH(";",'Special Help Table'!$A386)))&amp;" "&amp;MID('Special Help Table'!$A386,SEARCH("; ",'Special Help Table'!$A386)+2,SEARCH(",",'Special Help Table'!$A386,SEARCH(";",'Special Help Table'!$A386))-SEARCH(";",'Special Help Table'!$A386)-2),AND(LEN('Special Help Table'!$A386)-LEN(SUBSTITUTE('Special Help Table'!$A386,"and ",""))=0,LEN('Special Help Table'!$A386)-LEN(SUBSTITUTE('Special Help Table'!$A386,";",""))=0),'Special Help Table'!$A386,AND(LEN('Special Help Table'!$A386)-LEN(SUBSTITUTE('Special Help Table'!$A386,",","")=1),LEN('Special Help Table'!$A386)-LEN(SUBSTITUTE('Special Help Table'!$A386," ","")=20),LEN('Special Help Table'!$A386)-LEN(SUBSTITUTE('Special Help Table'!$A386," and",""))=0,LEN('Special Help Table'!$A386)-LEN(SUBSTITUTE('Special Help Table'!$A386,",","",FIND(" ",'Special Help Table'!$A386)+1))=0),RIGHT('Special Help Table'!$A386,LEN('Special Help Table'!$A386)-FIND(", ",'Special Help Table'!$A386))&amp;" "&amp;LEFT('Special Help Table'!$A386,FIND(",",'Special Help Table'!$A386)-1),AND(LEN('Special Help Table'!$A386)-LEN(SUBSTITUTE('Special Help Table'!$A386,"editor",""))=6,LEN('Special Help Table'!$A386)-LEN(SUBSTITUTE('Special Help Table'!$A386,"(",""))=0,LEN('Special Help Table'!$A386)-LEN(SUBSTITUTE('Special Help Table'!$A386,"and",""))=3,LEN('Special Help Table'!$A386)-LEN(SUBSTITUTE('Special Help Table'!$A386,",",""))=1,LEN('Special Help Table'!$A386)-LEN(SUBSTITUTE('Special Help Table'!$A386," ",""))=3),'Special Help Table'!$A386)</f>
        <v xml:space="preserve"> Jonathan Leeman</v>
      </c>
      <c r="C386" s="4" t="s">
        <v>768</v>
      </c>
      <c r="D386" s="2" t="s">
        <v>307</v>
      </c>
      <c r="E386" s="2" t="s">
        <v>16</v>
      </c>
      <c r="F386" s="2" t="s">
        <v>33</v>
      </c>
      <c r="G386" s="2"/>
      <c r="H386" s="2" t="s">
        <v>307</v>
      </c>
      <c r="I386" s="2"/>
      <c r="J386" s="2"/>
      <c r="K386" s="3"/>
      <c r="L386" s="2"/>
      <c r="M386" s="2"/>
      <c r="N386" s="2" t="s">
        <v>18</v>
      </c>
    </row>
    <row r="387" spans="1:14" ht="15.75" customHeight="1" x14ac:dyDescent="0.35">
      <c r="A387" s="2" t="s">
        <v>765</v>
      </c>
      <c r="B387" s="2" t="str" cm="1">
        <f t="array" ref="B387">_xlfn.IFS(AND(LEN('Special Help Table'!$A387)-(LEN(SUBSTITUTE('Special Help Table'!$A387,";","")))=0,LEN('Special Help Table'!$A387)-LEN(SUBSTITUTE('Special Help Table'!$A387,",",""))=1,LEN('Special Help Table'!$A387)-LEN(SUBSTITUTE('Special Help Table'!$A387,"and ",""))=0),MID('Special Help Table'!$A387&amp;" "&amp;'Special Help Table'!$A387,SEARCH(", ",'Special Help Table'!$A387)+1,LEN('Special Help Table'!$A387)),AND(LEN('Special Help Table'!$A387)-(LEN(SUBSTITUTE('Special Help Table'!$A387,";","")))=1,LEN('Special Help Table'!$A387)-LEN(SUBSTITUTE('Special Help Table'!$A387,"and ",""))=0),MID('Special Help Table'!$A387,SEARCH(",",'Special Help Table'!$A387)+1,(SEARCH(";",'Special Help Table'!$A387)-1)-SEARCH(",",'Special Help Table'!$A387))&amp;" "&amp;LEFT('Special Help Table'!$A387,SEARCH(",",'Special Help Table'!$A387)-1)&amp;";"&amp;RIGHT('Special Help Table'!$A387,LEN('Special Help Table'!$A387)-SEARCH(",",'Special Help Table'!$A387,SEARCH(";",'Special Help Table'!$A387)))&amp;" "&amp;MID('Special Help Table'!$A387,SEARCH("; ",'Special Help Table'!$A387)+2,SEARCH(",",'Special Help Table'!$A387,SEARCH(";",'Special Help Table'!$A387))-SEARCH(";",'Special Help Table'!$A387)-2),AND(LEN('Special Help Table'!$A387)-LEN(SUBSTITUTE('Special Help Table'!$A387,"and ",""))=0,LEN('Special Help Table'!$A387)-LEN(SUBSTITUTE('Special Help Table'!$A387,";",""))=0),'Special Help Table'!$A387,AND(LEN('Special Help Table'!$A387)-LEN(SUBSTITUTE('Special Help Table'!$A387,",","")=1),LEN('Special Help Table'!$A387)-LEN(SUBSTITUTE('Special Help Table'!$A387," ","")=20),LEN('Special Help Table'!$A387)-LEN(SUBSTITUTE('Special Help Table'!$A387," and",""))=0,LEN('Special Help Table'!$A387)-LEN(SUBSTITUTE('Special Help Table'!$A387,",","",FIND(" ",'Special Help Table'!$A387)+1))=0),RIGHT('Special Help Table'!$A387,LEN('Special Help Table'!$A387)-FIND(", ",'Special Help Table'!$A387))&amp;" "&amp;LEFT('Special Help Table'!$A387,FIND(",",'Special Help Table'!$A387)-1),AND(LEN('Special Help Table'!$A387)-LEN(SUBSTITUTE('Special Help Table'!$A387,"editor",""))=6,LEN('Special Help Table'!$A387)-LEN(SUBSTITUTE('Special Help Table'!$A387,"(",""))=0,LEN('Special Help Table'!$A387)-LEN(SUBSTITUTE('Special Help Table'!$A387,"and",""))=3,LEN('Special Help Table'!$A387)-LEN(SUBSTITUTE('Special Help Table'!$A387,",",""))=1,LEN('Special Help Table'!$A387)-LEN(SUBSTITUTE('Special Help Table'!$A387," ",""))=3),'Special Help Table'!$A387)</f>
        <v xml:space="preserve"> Jonathan Leeman</v>
      </c>
      <c r="C387" s="4" t="s">
        <v>769</v>
      </c>
      <c r="D387" s="2" t="s">
        <v>307</v>
      </c>
      <c r="E387" s="2" t="s">
        <v>16</v>
      </c>
      <c r="F387" s="2" t="s">
        <v>33</v>
      </c>
      <c r="G387" s="2"/>
      <c r="H387" s="2" t="s">
        <v>307</v>
      </c>
      <c r="I387" s="2"/>
      <c r="J387" s="2"/>
      <c r="K387" s="3">
        <v>43160</v>
      </c>
      <c r="L387" s="2"/>
      <c r="M387" s="2"/>
      <c r="N387" s="2" t="s">
        <v>18</v>
      </c>
    </row>
    <row r="388" spans="1:14" ht="15.75" customHeight="1" x14ac:dyDescent="0.35">
      <c r="A388" s="2" t="s">
        <v>770</v>
      </c>
      <c r="B388" s="2" t="str" cm="1">
        <f t="array" ref="B388">_xlfn.IFS(AND(LEN('Special Help Table'!$A388)-(LEN(SUBSTITUTE('Special Help Table'!$A388,";","")))=0,LEN('Special Help Table'!$A388)-LEN(SUBSTITUTE('Special Help Table'!$A388,",",""))=1,LEN('Special Help Table'!$A388)-LEN(SUBSTITUTE('Special Help Table'!$A388,"and ",""))=0),MID('Special Help Table'!$A388&amp;" "&amp;'Special Help Table'!$A388,SEARCH(", ",'Special Help Table'!$A388)+1,LEN('Special Help Table'!$A388)),AND(LEN('Special Help Table'!$A388)-(LEN(SUBSTITUTE('Special Help Table'!$A388,";","")))=1,LEN('Special Help Table'!$A388)-LEN(SUBSTITUTE('Special Help Table'!$A388,"and ",""))=0),MID('Special Help Table'!$A388,SEARCH(",",'Special Help Table'!$A388)+1,(SEARCH(";",'Special Help Table'!$A388)-1)-SEARCH(",",'Special Help Table'!$A388))&amp;" "&amp;LEFT('Special Help Table'!$A388,SEARCH(",",'Special Help Table'!$A388)-1)&amp;";"&amp;RIGHT('Special Help Table'!$A388,LEN('Special Help Table'!$A388)-SEARCH(",",'Special Help Table'!$A388,SEARCH(";",'Special Help Table'!$A388)))&amp;" "&amp;MID('Special Help Table'!$A388,SEARCH("; ",'Special Help Table'!$A388)+2,SEARCH(",",'Special Help Table'!$A388,SEARCH(";",'Special Help Table'!$A388))-SEARCH(";",'Special Help Table'!$A388)-2),AND(LEN('Special Help Table'!$A388)-LEN(SUBSTITUTE('Special Help Table'!$A388,"and ",""))=0,LEN('Special Help Table'!$A388)-LEN(SUBSTITUTE('Special Help Table'!$A388,";",""))=0),'Special Help Table'!$A388,AND(LEN('Special Help Table'!$A388)-LEN(SUBSTITUTE('Special Help Table'!$A388,",","")=1),LEN('Special Help Table'!$A388)-LEN(SUBSTITUTE('Special Help Table'!$A388," ","")=20),LEN('Special Help Table'!$A388)-LEN(SUBSTITUTE('Special Help Table'!$A388," and",""))=0,LEN('Special Help Table'!$A388)-LEN(SUBSTITUTE('Special Help Table'!$A388,",","",FIND(" ",'Special Help Table'!$A388)+1))=0),RIGHT('Special Help Table'!$A388,LEN('Special Help Table'!$A388)-FIND(", ",'Special Help Table'!$A388))&amp;" "&amp;LEFT('Special Help Table'!$A388,FIND(",",'Special Help Table'!$A388)-1),AND(LEN('Special Help Table'!$A388)-LEN(SUBSTITUTE('Special Help Table'!$A388,"editor",""))=6,LEN('Special Help Table'!$A388)-LEN(SUBSTITUTE('Special Help Table'!$A388,"(",""))=0,LEN('Special Help Table'!$A388)-LEN(SUBSTITUTE('Special Help Table'!$A388,"and",""))=3,LEN('Special Help Table'!$A388)-LEN(SUBSTITUTE('Special Help Table'!$A388,",",""))=1,LEN('Special Help Table'!$A388)-LEN(SUBSTITUTE('Special Help Table'!$A388," ",""))=3),'Special Help Table'!$A388)</f>
        <v xml:space="preserve"> John D. Legg</v>
      </c>
      <c r="C388" s="4" t="s">
        <v>771</v>
      </c>
      <c r="D388" s="2"/>
      <c r="E388" s="2" t="s">
        <v>16</v>
      </c>
      <c r="F388" s="2" t="s">
        <v>326</v>
      </c>
      <c r="G388" s="2"/>
      <c r="H388" s="2"/>
      <c r="I388" s="2"/>
      <c r="J388" s="2" t="s">
        <v>77</v>
      </c>
      <c r="K388" s="3">
        <v>40042</v>
      </c>
      <c r="L388" s="2"/>
      <c r="M388" s="2"/>
      <c r="N388" s="2" t="s">
        <v>18</v>
      </c>
    </row>
    <row r="389" spans="1:14" ht="15.75" customHeight="1" x14ac:dyDescent="0.35">
      <c r="A389" s="2" t="s">
        <v>772</v>
      </c>
      <c r="B389" s="2" t="str" cm="1">
        <f t="array" ref="B389">_xlfn.IFS(AND(LEN('Special Help Table'!$A389)-(LEN(SUBSTITUTE('Special Help Table'!$A389,";","")))=0,LEN('Special Help Table'!$A389)-LEN(SUBSTITUTE('Special Help Table'!$A389,",",""))=1,LEN('Special Help Table'!$A389)-LEN(SUBSTITUTE('Special Help Table'!$A389,"and ",""))=0),MID('Special Help Table'!$A389&amp;" "&amp;'Special Help Table'!$A389,SEARCH(", ",'Special Help Table'!$A389)+1,LEN('Special Help Table'!$A389)),AND(LEN('Special Help Table'!$A389)-(LEN(SUBSTITUTE('Special Help Table'!$A389,";","")))=1,LEN('Special Help Table'!$A389)-LEN(SUBSTITUTE('Special Help Table'!$A389,"and ",""))=0),MID('Special Help Table'!$A389,SEARCH(",",'Special Help Table'!$A389)+1,(SEARCH(";",'Special Help Table'!$A389)-1)-SEARCH(",",'Special Help Table'!$A389))&amp;" "&amp;LEFT('Special Help Table'!$A389,SEARCH(",",'Special Help Table'!$A389)-1)&amp;";"&amp;RIGHT('Special Help Table'!$A389,LEN('Special Help Table'!$A389)-SEARCH(",",'Special Help Table'!$A389,SEARCH(";",'Special Help Table'!$A389)))&amp;" "&amp;MID('Special Help Table'!$A389,SEARCH("; ",'Special Help Table'!$A389)+2,SEARCH(",",'Special Help Table'!$A389,SEARCH(";",'Special Help Table'!$A389))-SEARCH(";",'Special Help Table'!$A389)-2),AND(LEN('Special Help Table'!$A389)-LEN(SUBSTITUTE('Special Help Table'!$A389,"and ",""))=0,LEN('Special Help Table'!$A389)-LEN(SUBSTITUTE('Special Help Table'!$A389,";",""))=0),'Special Help Table'!$A389,AND(LEN('Special Help Table'!$A389)-LEN(SUBSTITUTE('Special Help Table'!$A389,",","")=1),LEN('Special Help Table'!$A389)-LEN(SUBSTITUTE('Special Help Table'!$A389," ","")=20),LEN('Special Help Table'!$A389)-LEN(SUBSTITUTE('Special Help Table'!$A389," and",""))=0,LEN('Special Help Table'!$A389)-LEN(SUBSTITUTE('Special Help Table'!$A389,",","",FIND(" ",'Special Help Table'!$A389)+1))=0),RIGHT('Special Help Table'!$A389,LEN('Special Help Table'!$A389)-FIND(", ",'Special Help Table'!$A389))&amp;" "&amp;LEFT('Special Help Table'!$A389,FIND(",",'Special Help Table'!$A389)-1),AND(LEN('Special Help Table'!$A389)-LEN(SUBSTITUTE('Special Help Table'!$A389,"editor",""))=6,LEN('Special Help Table'!$A389)-LEN(SUBSTITUTE('Special Help Table'!$A389,"(",""))=0,LEN('Special Help Table'!$A389)-LEN(SUBSTITUTE('Special Help Table'!$A389,"and",""))=3,LEN('Special Help Table'!$A389)-LEN(SUBSTITUTE('Special Help Table'!$A389,",",""))=1,LEN('Special Help Table'!$A389)-LEN(SUBSTITUTE('Special Help Table'!$A389," ",""))=3),'Special Help Table'!$A389)</f>
        <v xml:space="preserve"> John C. Lennox</v>
      </c>
      <c r="C389" s="4" t="s">
        <v>773</v>
      </c>
      <c r="D389" s="2"/>
      <c r="E389" s="2" t="s">
        <v>16</v>
      </c>
      <c r="F389" s="2" t="s">
        <v>20</v>
      </c>
      <c r="G389" s="2"/>
      <c r="H389" s="2"/>
      <c r="I389" s="2"/>
      <c r="J389" s="2" t="s">
        <v>601</v>
      </c>
      <c r="K389" s="3">
        <v>44044</v>
      </c>
      <c r="L389" s="2"/>
      <c r="M389" s="2"/>
      <c r="N389" s="2" t="s">
        <v>18</v>
      </c>
    </row>
    <row r="390" spans="1:14" ht="15.75" customHeight="1" x14ac:dyDescent="0.35">
      <c r="A390" s="2" t="s">
        <v>774</v>
      </c>
      <c r="B390" s="2" t="str" cm="1">
        <f t="array" ref="B390">_xlfn.IFS(AND(LEN('Special Help Table'!$A390)-(LEN(SUBSTITUTE('Special Help Table'!$A390,";","")))=0,LEN('Special Help Table'!$A390)-LEN(SUBSTITUTE('Special Help Table'!$A390,",",""))=1,LEN('Special Help Table'!$A390)-LEN(SUBSTITUTE('Special Help Table'!$A390,"and ",""))=0),MID('Special Help Table'!$A390&amp;" "&amp;'Special Help Table'!$A390,SEARCH(", ",'Special Help Table'!$A390)+1,LEN('Special Help Table'!$A390)),AND(LEN('Special Help Table'!$A390)-(LEN(SUBSTITUTE('Special Help Table'!$A390,";","")))=1,LEN('Special Help Table'!$A390)-LEN(SUBSTITUTE('Special Help Table'!$A390,"and ",""))=0),MID('Special Help Table'!$A390,SEARCH(",",'Special Help Table'!$A390)+1,(SEARCH(";",'Special Help Table'!$A390)-1)-SEARCH(",",'Special Help Table'!$A390))&amp;" "&amp;LEFT('Special Help Table'!$A390,SEARCH(",",'Special Help Table'!$A390)-1)&amp;";"&amp;RIGHT('Special Help Table'!$A390,LEN('Special Help Table'!$A390)-SEARCH(",",'Special Help Table'!$A390,SEARCH(";",'Special Help Table'!$A390)))&amp;" "&amp;MID('Special Help Table'!$A390,SEARCH("; ",'Special Help Table'!$A390)+2,SEARCH(",",'Special Help Table'!$A390,SEARCH(";",'Special Help Table'!$A390))-SEARCH(";",'Special Help Table'!$A390)-2),AND(LEN('Special Help Table'!$A390)-LEN(SUBSTITUTE('Special Help Table'!$A390,"and ",""))=0,LEN('Special Help Table'!$A390)-LEN(SUBSTITUTE('Special Help Table'!$A390,";",""))=0),'Special Help Table'!$A390,AND(LEN('Special Help Table'!$A390)-LEN(SUBSTITUTE('Special Help Table'!$A390,",","")=1),LEN('Special Help Table'!$A390)-LEN(SUBSTITUTE('Special Help Table'!$A390," ","")=20),LEN('Special Help Table'!$A390)-LEN(SUBSTITUTE('Special Help Table'!$A390," and",""))=0,LEN('Special Help Table'!$A390)-LEN(SUBSTITUTE('Special Help Table'!$A390,",","",FIND(" ",'Special Help Table'!$A390)+1))=0),RIGHT('Special Help Table'!$A390,LEN('Special Help Table'!$A390)-FIND(", ",'Special Help Table'!$A390))&amp;" "&amp;LEFT('Special Help Table'!$A390,FIND(",",'Special Help Table'!$A390)-1),AND(LEN('Special Help Table'!$A390)-LEN(SUBSTITUTE('Special Help Table'!$A390,"editor",""))=6,LEN('Special Help Table'!$A390)-LEN(SUBSTITUTE('Special Help Table'!$A390,"(",""))=0,LEN('Special Help Table'!$A390)-LEN(SUBSTITUTE('Special Help Table'!$A390,"and",""))=3,LEN('Special Help Table'!$A390)-LEN(SUBSTITUTE('Special Help Table'!$A390,",",""))=1,LEN('Special Help Table'!$A390)-LEN(SUBSTITUTE('Special Help Table'!$A390," ",""))=3),'Special Help Table'!$A390)</f>
        <v xml:space="preserve"> C.S. Lewis</v>
      </c>
      <c r="C390" s="4" t="s">
        <v>775</v>
      </c>
      <c r="D390" s="2"/>
      <c r="E390" s="2" t="s">
        <v>16</v>
      </c>
      <c r="F390" s="2" t="s">
        <v>20</v>
      </c>
      <c r="G390" s="2"/>
      <c r="H390" s="2"/>
      <c r="I390" s="2"/>
      <c r="J390" s="2"/>
      <c r="K390" s="3">
        <v>40188</v>
      </c>
      <c r="L390" s="2"/>
      <c r="M390" s="2"/>
      <c r="N390" s="2" t="s">
        <v>18</v>
      </c>
    </row>
    <row r="391" spans="1:14" ht="15.75" customHeight="1" x14ac:dyDescent="0.35">
      <c r="A391" s="2" t="s">
        <v>776</v>
      </c>
      <c r="B391" s="2" t="str" cm="1">
        <f t="array" ref="B391">_xlfn.IFS(AND(LEN('Special Help Table'!$A391)-(LEN(SUBSTITUTE('Special Help Table'!$A391,";","")))=0,LEN('Special Help Table'!$A391)-LEN(SUBSTITUTE('Special Help Table'!$A391,",",""))=1,LEN('Special Help Table'!$A391)-LEN(SUBSTITUTE('Special Help Table'!$A391,"and ",""))=0),MID('Special Help Table'!$A391&amp;" "&amp;'Special Help Table'!$A391,SEARCH(", ",'Special Help Table'!$A391)+1,LEN('Special Help Table'!$A391)),AND(LEN('Special Help Table'!$A391)-(LEN(SUBSTITUTE('Special Help Table'!$A391,";","")))=1,LEN('Special Help Table'!$A391)-LEN(SUBSTITUTE('Special Help Table'!$A391,"and ",""))=0),MID('Special Help Table'!$A391,SEARCH(",",'Special Help Table'!$A391)+1,(SEARCH(";",'Special Help Table'!$A391)-1)-SEARCH(",",'Special Help Table'!$A391))&amp;" "&amp;LEFT('Special Help Table'!$A391,SEARCH(",",'Special Help Table'!$A391)-1)&amp;";"&amp;RIGHT('Special Help Table'!$A391,LEN('Special Help Table'!$A391)-SEARCH(",",'Special Help Table'!$A391,SEARCH(";",'Special Help Table'!$A391)))&amp;" "&amp;MID('Special Help Table'!$A391,SEARCH("; ",'Special Help Table'!$A391)+2,SEARCH(",",'Special Help Table'!$A391,SEARCH(";",'Special Help Table'!$A391))-SEARCH(";",'Special Help Table'!$A391)-2),AND(LEN('Special Help Table'!$A391)-LEN(SUBSTITUTE('Special Help Table'!$A391,"and ",""))=0,LEN('Special Help Table'!$A391)-LEN(SUBSTITUTE('Special Help Table'!$A391,";",""))=0),'Special Help Table'!$A391,AND(LEN('Special Help Table'!$A391)-LEN(SUBSTITUTE('Special Help Table'!$A391,",","")=1),LEN('Special Help Table'!$A391)-LEN(SUBSTITUTE('Special Help Table'!$A391," ","")=20),LEN('Special Help Table'!$A391)-LEN(SUBSTITUTE('Special Help Table'!$A391," and",""))=0,LEN('Special Help Table'!$A391)-LEN(SUBSTITUTE('Special Help Table'!$A391,",","",FIND(" ",'Special Help Table'!$A391)+1))=0),RIGHT('Special Help Table'!$A391,LEN('Special Help Table'!$A391)-FIND(", ",'Special Help Table'!$A391))&amp;" "&amp;LEFT('Special Help Table'!$A391,FIND(",",'Special Help Table'!$A391)-1),AND(LEN('Special Help Table'!$A391)-LEN(SUBSTITUTE('Special Help Table'!$A391,"editor",""))=6,LEN('Special Help Table'!$A391)-LEN(SUBSTITUTE('Special Help Table'!$A391,"(",""))=0,LEN('Special Help Table'!$A391)-LEN(SUBSTITUTE('Special Help Table'!$A391,"and",""))=3,LEN('Special Help Table'!$A391)-LEN(SUBSTITUTE('Special Help Table'!$A391,",",""))=1,LEN('Special Help Table'!$A391)-LEN(SUBSTITUTE('Special Help Table'!$A391," ",""))=3),'Special Help Table'!$A391)</f>
        <v xml:space="preserve"> Robert Lightner</v>
      </c>
      <c r="C391" s="4" t="s">
        <v>777</v>
      </c>
      <c r="D391" s="2"/>
      <c r="E391" s="2" t="s">
        <v>16</v>
      </c>
      <c r="F391" s="2" t="s">
        <v>113</v>
      </c>
      <c r="G391" s="2"/>
      <c r="H391" s="2"/>
      <c r="I391" s="2"/>
      <c r="J391" s="2"/>
      <c r="K391" s="3">
        <v>40044</v>
      </c>
      <c r="L391" s="2"/>
      <c r="M391" s="2"/>
      <c r="N391" s="2" t="s">
        <v>18</v>
      </c>
    </row>
    <row r="392" spans="1:14" ht="15.75" customHeight="1" x14ac:dyDescent="0.35">
      <c r="A392" s="2" t="s">
        <v>778</v>
      </c>
      <c r="B392" s="2" t="str" cm="1">
        <f t="array" ref="B392">_xlfn.IFS(AND(LEN('Special Help Table'!$A392)-(LEN(SUBSTITUTE('Special Help Table'!$A392,";","")))=0,LEN('Special Help Table'!$A392)-LEN(SUBSTITUTE('Special Help Table'!$A392,",",""))=1,LEN('Special Help Table'!$A392)-LEN(SUBSTITUTE('Special Help Table'!$A392,"and ",""))=0),MID('Special Help Table'!$A392&amp;" "&amp;'Special Help Table'!$A392,SEARCH(", ",'Special Help Table'!$A392)+1,LEN('Special Help Table'!$A392)),AND(LEN('Special Help Table'!$A392)-(LEN(SUBSTITUTE('Special Help Table'!$A392,";","")))=1,LEN('Special Help Table'!$A392)-LEN(SUBSTITUTE('Special Help Table'!$A392,"and ",""))=0),MID('Special Help Table'!$A392,SEARCH(",",'Special Help Table'!$A392)+1,(SEARCH(";",'Special Help Table'!$A392)-1)-SEARCH(",",'Special Help Table'!$A392))&amp;" "&amp;LEFT('Special Help Table'!$A392,SEARCH(",",'Special Help Table'!$A392)-1)&amp;";"&amp;RIGHT('Special Help Table'!$A392,LEN('Special Help Table'!$A392)-SEARCH(",",'Special Help Table'!$A392,SEARCH(";",'Special Help Table'!$A392)))&amp;" "&amp;MID('Special Help Table'!$A392,SEARCH("; ",'Special Help Table'!$A392)+2,SEARCH(",",'Special Help Table'!$A392,SEARCH(";",'Special Help Table'!$A392))-SEARCH(";",'Special Help Table'!$A392)-2),AND(LEN('Special Help Table'!$A392)-LEN(SUBSTITUTE('Special Help Table'!$A392,"and ",""))=0,LEN('Special Help Table'!$A392)-LEN(SUBSTITUTE('Special Help Table'!$A392,";",""))=0),'Special Help Table'!$A392,AND(LEN('Special Help Table'!$A392)-LEN(SUBSTITUTE('Special Help Table'!$A392,",","")=1),LEN('Special Help Table'!$A392)-LEN(SUBSTITUTE('Special Help Table'!$A392," ","")=20),LEN('Special Help Table'!$A392)-LEN(SUBSTITUTE('Special Help Table'!$A392," and",""))=0,LEN('Special Help Table'!$A392)-LEN(SUBSTITUTE('Special Help Table'!$A392,",","",FIND(" ",'Special Help Table'!$A392)+1))=0),RIGHT('Special Help Table'!$A392,LEN('Special Help Table'!$A392)-FIND(", ",'Special Help Table'!$A392))&amp;" "&amp;LEFT('Special Help Table'!$A392,FIND(",",'Special Help Table'!$A392)-1),AND(LEN('Special Help Table'!$A392)-LEN(SUBSTITUTE('Special Help Table'!$A392,"editor",""))=6,LEN('Special Help Table'!$A392)-LEN(SUBSTITUTE('Special Help Table'!$A392,"(",""))=0,LEN('Special Help Table'!$A392)-LEN(SUBSTITUTE('Special Help Table'!$A392,"and",""))=3,LEN('Special Help Table'!$A392)-LEN(SUBSTITUTE('Special Help Table'!$A392,",",""))=1,LEN('Special Help Table'!$A392)-LEN(SUBSTITUTE('Special Help Table'!$A392," ",""))=3),'Special Help Table'!$A392)</f>
        <v xml:space="preserve"> Peter A. Lillback</v>
      </c>
      <c r="C392" s="4" t="s">
        <v>779</v>
      </c>
      <c r="D392" s="2"/>
      <c r="E392" s="2" t="s">
        <v>16</v>
      </c>
      <c r="F392" s="2" t="s">
        <v>39</v>
      </c>
      <c r="G392" s="2"/>
      <c r="H392" s="2"/>
      <c r="I392" s="2"/>
      <c r="J392" s="2"/>
      <c r="K392" s="3"/>
      <c r="L392" s="2"/>
      <c r="M392" s="2"/>
      <c r="N392" s="2" t="s">
        <v>18</v>
      </c>
    </row>
    <row r="393" spans="1:14" ht="15.75" customHeight="1" x14ac:dyDescent="0.35">
      <c r="A393" s="2" t="s">
        <v>780</v>
      </c>
      <c r="B393" s="2" t="str" cm="1">
        <f t="array" ref="B393">_xlfn.IFS(AND(LEN('Special Help Table'!$A393)-(LEN(SUBSTITUTE('Special Help Table'!$A393,";","")))=0,LEN('Special Help Table'!$A393)-LEN(SUBSTITUTE('Special Help Table'!$A393,",",""))=1,LEN('Special Help Table'!$A393)-LEN(SUBSTITUTE('Special Help Table'!$A393,"and ",""))=0),MID('Special Help Table'!$A393&amp;" "&amp;'Special Help Table'!$A393,SEARCH(", ",'Special Help Table'!$A393)+1,LEN('Special Help Table'!$A393)),AND(LEN('Special Help Table'!$A393)-(LEN(SUBSTITUTE('Special Help Table'!$A393,";","")))=1,LEN('Special Help Table'!$A393)-LEN(SUBSTITUTE('Special Help Table'!$A393,"and ",""))=0),MID('Special Help Table'!$A393,SEARCH(",",'Special Help Table'!$A393)+1,(SEARCH(";",'Special Help Table'!$A393)-1)-SEARCH(",",'Special Help Table'!$A393))&amp;" "&amp;LEFT('Special Help Table'!$A393,SEARCH(",",'Special Help Table'!$A393)-1)&amp;";"&amp;RIGHT('Special Help Table'!$A393,LEN('Special Help Table'!$A393)-SEARCH(",",'Special Help Table'!$A393,SEARCH(";",'Special Help Table'!$A393)))&amp;" "&amp;MID('Special Help Table'!$A393,SEARCH("; ",'Special Help Table'!$A393)+2,SEARCH(",",'Special Help Table'!$A393,SEARCH(";",'Special Help Table'!$A393))-SEARCH(";",'Special Help Table'!$A393)-2),AND(LEN('Special Help Table'!$A393)-LEN(SUBSTITUTE('Special Help Table'!$A393,"and ",""))=0,LEN('Special Help Table'!$A393)-LEN(SUBSTITUTE('Special Help Table'!$A393,";",""))=0),'Special Help Table'!$A393,AND(LEN('Special Help Table'!$A393)-LEN(SUBSTITUTE('Special Help Table'!$A393,",","")=1),LEN('Special Help Table'!$A393)-LEN(SUBSTITUTE('Special Help Table'!$A393," ","")=20),LEN('Special Help Table'!$A393)-LEN(SUBSTITUTE('Special Help Table'!$A393," and",""))=0,LEN('Special Help Table'!$A393)-LEN(SUBSTITUTE('Special Help Table'!$A393,",","",FIND(" ",'Special Help Table'!$A393)+1))=0),RIGHT('Special Help Table'!$A393,LEN('Special Help Table'!$A393)-FIND(", ",'Special Help Table'!$A393))&amp;" "&amp;LEFT('Special Help Table'!$A393,FIND(",",'Special Help Table'!$A393)-1),AND(LEN('Special Help Table'!$A393)-LEN(SUBSTITUTE('Special Help Table'!$A393,"editor",""))=6,LEN('Special Help Table'!$A393)-LEN(SUBSTITUTE('Special Help Table'!$A393,"(",""))=0,LEN('Special Help Table'!$A393)-LEN(SUBSTITUTE('Special Help Table'!$A393,"and",""))=3,LEN('Special Help Table'!$A393)-LEN(SUBSTITUTE('Special Help Table'!$A393,",",""))=1,LEN('Special Help Table'!$A393)-LEN(SUBSTITUTE('Special Help Table'!$A393," ",""))=3),'Special Help Table'!$A393)</f>
        <v xml:space="preserve"> D. Martyn Lloyd-Jones</v>
      </c>
      <c r="C393" s="4" t="s">
        <v>781</v>
      </c>
      <c r="D393" s="2"/>
      <c r="E393" s="2" t="s">
        <v>16</v>
      </c>
      <c r="F393" s="2" t="s">
        <v>28</v>
      </c>
      <c r="G393" s="2"/>
      <c r="H393" s="2"/>
      <c r="I393" s="2"/>
      <c r="J393" s="2"/>
      <c r="K393" s="3">
        <v>40045</v>
      </c>
      <c r="L393" s="2"/>
      <c r="M393" s="2"/>
      <c r="N393" s="2" t="s">
        <v>18</v>
      </c>
    </row>
    <row r="394" spans="1:14" ht="15.75" customHeight="1" x14ac:dyDescent="0.35">
      <c r="A394" s="2" t="s">
        <v>780</v>
      </c>
      <c r="B394" s="2" t="str" cm="1">
        <f t="array" ref="B394">_xlfn.IFS(AND(LEN('Special Help Table'!$A394)-(LEN(SUBSTITUTE('Special Help Table'!$A394,";","")))=0,LEN('Special Help Table'!$A394)-LEN(SUBSTITUTE('Special Help Table'!$A394,",",""))=1,LEN('Special Help Table'!$A394)-LEN(SUBSTITUTE('Special Help Table'!$A394,"and ",""))=0),MID('Special Help Table'!$A394&amp;" "&amp;'Special Help Table'!$A394,SEARCH(", ",'Special Help Table'!$A394)+1,LEN('Special Help Table'!$A394)),AND(LEN('Special Help Table'!$A394)-(LEN(SUBSTITUTE('Special Help Table'!$A394,";","")))=1,LEN('Special Help Table'!$A394)-LEN(SUBSTITUTE('Special Help Table'!$A394,"and ",""))=0),MID('Special Help Table'!$A394,SEARCH(",",'Special Help Table'!$A394)+1,(SEARCH(";",'Special Help Table'!$A394)-1)-SEARCH(",",'Special Help Table'!$A394))&amp;" "&amp;LEFT('Special Help Table'!$A394,SEARCH(",",'Special Help Table'!$A394)-1)&amp;";"&amp;RIGHT('Special Help Table'!$A394,LEN('Special Help Table'!$A394)-SEARCH(",",'Special Help Table'!$A394,SEARCH(";",'Special Help Table'!$A394)))&amp;" "&amp;MID('Special Help Table'!$A394,SEARCH("; ",'Special Help Table'!$A394)+2,SEARCH(",",'Special Help Table'!$A394,SEARCH(";",'Special Help Table'!$A394))-SEARCH(";",'Special Help Table'!$A394)-2),AND(LEN('Special Help Table'!$A394)-LEN(SUBSTITUTE('Special Help Table'!$A394,"and ",""))=0,LEN('Special Help Table'!$A394)-LEN(SUBSTITUTE('Special Help Table'!$A394,";",""))=0),'Special Help Table'!$A394,AND(LEN('Special Help Table'!$A394)-LEN(SUBSTITUTE('Special Help Table'!$A394,",","")=1),LEN('Special Help Table'!$A394)-LEN(SUBSTITUTE('Special Help Table'!$A394," ","")=20),LEN('Special Help Table'!$A394)-LEN(SUBSTITUTE('Special Help Table'!$A394," and",""))=0,LEN('Special Help Table'!$A394)-LEN(SUBSTITUTE('Special Help Table'!$A394,",","",FIND(" ",'Special Help Table'!$A394)+1))=0),RIGHT('Special Help Table'!$A394,LEN('Special Help Table'!$A394)-FIND(", ",'Special Help Table'!$A394))&amp;" "&amp;LEFT('Special Help Table'!$A394,FIND(",",'Special Help Table'!$A394)-1),AND(LEN('Special Help Table'!$A394)-LEN(SUBSTITUTE('Special Help Table'!$A394,"editor",""))=6,LEN('Special Help Table'!$A394)-LEN(SUBSTITUTE('Special Help Table'!$A394,"(",""))=0,LEN('Special Help Table'!$A394)-LEN(SUBSTITUTE('Special Help Table'!$A394,"and",""))=3,LEN('Special Help Table'!$A394)-LEN(SUBSTITUTE('Special Help Table'!$A394,",",""))=1,LEN('Special Help Table'!$A394)-LEN(SUBSTITUTE('Special Help Table'!$A394," ",""))=3),'Special Help Table'!$A394)</f>
        <v xml:space="preserve"> D. Martyn Lloyd-Jones</v>
      </c>
      <c r="C394" s="4" t="s">
        <v>782</v>
      </c>
      <c r="D394" s="2"/>
      <c r="E394" s="2" t="s">
        <v>16</v>
      </c>
      <c r="F394" s="2" t="s">
        <v>17</v>
      </c>
      <c r="G394" s="2"/>
      <c r="H394" s="2"/>
      <c r="I394" s="2"/>
      <c r="J394" s="2" t="s">
        <v>89</v>
      </c>
      <c r="K394" s="3">
        <v>40046</v>
      </c>
      <c r="L394" s="2"/>
      <c r="M394" s="2"/>
      <c r="N394" s="2" t="s">
        <v>18</v>
      </c>
    </row>
    <row r="395" spans="1:14" ht="15.75" customHeight="1" x14ac:dyDescent="0.35">
      <c r="A395" s="2" t="s">
        <v>780</v>
      </c>
      <c r="B395" s="2" t="str" cm="1">
        <f t="array" ref="B395">_xlfn.IFS(AND(LEN('Special Help Table'!$A395)-(LEN(SUBSTITUTE('Special Help Table'!$A395,";","")))=0,LEN('Special Help Table'!$A395)-LEN(SUBSTITUTE('Special Help Table'!$A395,",",""))=1,LEN('Special Help Table'!$A395)-LEN(SUBSTITUTE('Special Help Table'!$A395,"and ",""))=0),MID('Special Help Table'!$A395&amp;" "&amp;'Special Help Table'!$A395,SEARCH(", ",'Special Help Table'!$A395)+1,LEN('Special Help Table'!$A395)),AND(LEN('Special Help Table'!$A395)-(LEN(SUBSTITUTE('Special Help Table'!$A395,";","")))=1,LEN('Special Help Table'!$A395)-LEN(SUBSTITUTE('Special Help Table'!$A395,"and ",""))=0),MID('Special Help Table'!$A395,SEARCH(",",'Special Help Table'!$A395)+1,(SEARCH(";",'Special Help Table'!$A395)-1)-SEARCH(",",'Special Help Table'!$A395))&amp;" "&amp;LEFT('Special Help Table'!$A395,SEARCH(",",'Special Help Table'!$A395)-1)&amp;";"&amp;RIGHT('Special Help Table'!$A395,LEN('Special Help Table'!$A395)-SEARCH(",",'Special Help Table'!$A395,SEARCH(";",'Special Help Table'!$A395)))&amp;" "&amp;MID('Special Help Table'!$A395,SEARCH("; ",'Special Help Table'!$A395)+2,SEARCH(",",'Special Help Table'!$A395,SEARCH(";",'Special Help Table'!$A395))-SEARCH(";",'Special Help Table'!$A395)-2),AND(LEN('Special Help Table'!$A395)-LEN(SUBSTITUTE('Special Help Table'!$A395,"and ",""))=0,LEN('Special Help Table'!$A395)-LEN(SUBSTITUTE('Special Help Table'!$A395,";",""))=0),'Special Help Table'!$A395,AND(LEN('Special Help Table'!$A395)-LEN(SUBSTITUTE('Special Help Table'!$A395,",","")=1),LEN('Special Help Table'!$A395)-LEN(SUBSTITUTE('Special Help Table'!$A395," ","")=20),LEN('Special Help Table'!$A395)-LEN(SUBSTITUTE('Special Help Table'!$A395," and",""))=0,LEN('Special Help Table'!$A395)-LEN(SUBSTITUTE('Special Help Table'!$A395,",","",FIND(" ",'Special Help Table'!$A395)+1))=0),RIGHT('Special Help Table'!$A395,LEN('Special Help Table'!$A395)-FIND(", ",'Special Help Table'!$A395))&amp;" "&amp;LEFT('Special Help Table'!$A395,FIND(",",'Special Help Table'!$A395)-1),AND(LEN('Special Help Table'!$A395)-LEN(SUBSTITUTE('Special Help Table'!$A395,"editor",""))=6,LEN('Special Help Table'!$A395)-LEN(SUBSTITUTE('Special Help Table'!$A395,"(",""))=0,LEN('Special Help Table'!$A395)-LEN(SUBSTITUTE('Special Help Table'!$A395,"and",""))=3,LEN('Special Help Table'!$A395)-LEN(SUBSTITUTE('Special Help Table'!$A395,",",""))=1,LEN('Special Help Table'!$A395)-LEN(SUBSTITUTE('Special Help Table'!$A395," ",""))=3),'Special Help Table'!$A395)</f>
        <v xml:space="preserve"> D. Martyn Lloyd-Jones</v>
      </c>
      <c r="C395" s="4" t="s">
        <v>783</v>
      </c>
      <c r="D395" s="2"/>
      <c r="E395" s="2" t="s">
        <v>16</v>
      </c>
      <c r="F395" s="2" t="s">
        <v>76</v>
      </c>
      <c r="G395" s="2"/>
      <c r="H395" s="2"/>
      <c r="I395" s="2"/>
      <c r="J395" s="2"/>
      <c r="K395" s="3">
        <v>40047</v>
      </c>
      <c r="L395" s="2"/>
      <c r="M395" s="2"/>
      <c r="N395" s="2" t="s">
        <v>18</v>
      </c>
    </row>
    <row r="396" spans="1:14" ht="15.75" customHeight="1" x14ac:dyDescent="0.35">
      <c r="A396" s="2" t="s">
        <v>784</v>
      </c>
      <c r="B396" s="2" t="str" cm="1">
        <f t="array" ref="B396">_xlfn.IFS(AND(LEN('Special Help Table'!$A396)-(LEN(SUBSTITUTE('Special Help Table'!$A396,";","")))=0,LEN('Special Help Table'!$A396)-LEN(SUBSTITUTE('Special Help Table'!$A396,",",""))=1,LEN('Special Help Table'!$A396)-LEN(SUBSTITUTE('Special Help Table'!$A396,"and ",""))=0),MID('Special Help Table'!$A396&amp;" "&amp;'Special Help Table'!$A396,SEARCH(", ",'Special Help Table'!$A396)+1,LEN('Special Help Table'!$A396)),AND(LEN('Special Help Table'!$A396)-(LEN(SUBSTITUTE('Special Help Table'!$A396,";","")))=1,LEN('Special Help Table'!$A396)-LEN(SUBSTITUTE('Special Help Table'!$A396,"and ",""))=0),MID('Special Help Table'!$A396,SEARCH(",",'Special Help Table'!$A396)+1,(SEARCH(";",'Special Help Table'!$A396)-1)-SEARCH(",",'Special Help Table'!$A396))&amp;" "&amp;LEFT('Special Help Table'!$A396,SEARCH(",",'Special Help Table'!$A396)-1)&amp;";"&amp;RIGHT('Special Help Table'!$A396,LEN('Special Help Table'!$A396)-SEARCH(",",'Special Help Table'!$A396,SEARCH(";",'Special Help Table'!$A396)))&amp;" "&amp;MID('Special Help Table'!$A396,SEARCH("; ",'Special Help Table'!$A396)+2,SEARCH(",",'Special Help Table'!$A396,SEARCH(";",'Special Help Table'!$A396))-SEARCH(";",'Special Help Table'!$A396)-2),AND(LEN('Special Help Table'!$A396)-LEN(SUBSTITUTE('Special Help Table'!$A396,"and ",""))=0,LEN('Special Help Table'!$A396)-LEN(SUBSTITUTE('Special Help Table'!$A396,";",""))=0),'Special Help Table'!$A396,AND(LEN('Special Help Table'!$A396)-LEN(SUBSTITUTE('Special Help Table'!$A396,",","")=1),LEN('Special Help Table'!$A396)-LEN(SUBSTITUTE('Special Help Table'!$A396," ","")=20),LEN('Special Help Table'!$A396)-LEN(SUBSTITUTE('Special Help Table'!$A396," and",""))=0,LEN('Special Help Table'!$A396)-LEN(SUBSTITUTE('Special Help Table'!$A396,",","",FIND(" ",'Special Help Table'!$A396)+1))=0),RIGHT('Special Help Table'!$A396,LEN('Special Help Table'!$A396)-FIND(", ",'Special Help Table'!$A396))&amp;" "&amp;LEFT('Special Help Table'!$A396,FIND(",",'Special Help Table'!$A396)-1),AND(LEN('Special Help Table'!$A396)-LEN(SUBSTITUTE('Special Help Table'!$A396,"editor",""))=6,LEN('Special Help Table'!$A396)-LEN(SUBSTITUTE('Special Help Table'!$A396,"(",""))=0,LEN('Special Help Table'!$A396)-LEN(SUBSTITUTE('Special Help Table'!$A396,"and",""))=3,LEN('Special Help Table'!$A396)-LEN(SUBSTITUTE('Special Help Table'!$A396,",",""))=1,LEN('Special Help Table'!$A396)-LEN(SUBSTITUTE('Special Help Table'!$A396," ",""))=3),'Special Help Table'!$A396)</f>
        <v xml:space="preserve"> Sally Lloyd-Jones</v>
      </c>
      <c r="C396" s="4" t="s">
        <v>785</v>
      </c>
      <c r="D396" s="2"/>
      <c r="E396" s="2" t="s">
        <v>16</v>
      </c>
      <c r="F396" s="2" t="s">
        <v>72</v>
      </c>
      <c r="G396" s="2"/>
      <c r="H396" s="2"/>
      <c r="I396" s="2"/>
      <c r="J396" s="2"/>
      <c r="K396" s="3">
        <v>40674</v>
      </c>
      <c r="L396" s="2"/>
      <c r="M396" s="2"/>
      <c r="N396" s="2" t="s">
        <v>18</v>
      </c>
    </row>
    <row r="397" spans="1:14" ht="15.75" customHeight="1" x14ac:dyDescent="0.35">
      <c r="A397" s="2" t="s">
        <v>786</v>
      </c>
      <c r="B397" s="2" t="str" cm="1">
        <f t="array" ref="B397">_xlfn.IFS(AND(LEN('Special Help Table'!$A397)-(LEN(SUBSTITUTE('Special Help Table'!$A397,";","")))=0,LEN('Special Help Table'!$A397)-LEN(SUBSTITUTE('Special Help Table'!$A397,",",""))=1,LEN('Special Help Table'!$A397)-LEN(SUBSTITUTE('Special Help Table'!$A397,"and ",""))=0),MID('Special Help Table'!$A397&amp;" "&amp;'Special Help Table'!$A397,SEARCH(", ",'Special Help Table'!$A397)+1,LEN('Special Help Table'!$A397)),AND(LEN('Special Help Table'!$A397)-(LEN(SUBSTITUTE('Special Help Table'!$A397,";","")))=1,LEN('Special Help Table'!$A397)-LEN(SUBSTITUTE('Special Help Table'!$A397,"and ",""))=0),MID('Special Help Table'!$A397,SEARCH(",",'Special Help Table'!$A397)+1,(SEARCH(";",'Special Help Table'!$A397)-1)-SEARCH(",",'Special Help Table'!$A397))&amp;" "&amp;LEFT('Special Help Table'!$A397,SEARCH(",",'Special Help Table'!$A397)-1)&amp;";"&amp;RIGHT('Special Help Table'!$A397,LEN('Special Help Table'!$A397)-SEARCH(",",'Special Help Table'!$A397,SEARCH(";",'Special Help Table'!$A397)))&amp;" "&amp;MID('Special Help Table'!$A397,SEARCH("; ",'Special Help Table'!$A397)+2,SEARCH(",",'Special Help Table'!$A397,SEARCH(";",'Special Help Table'!$A397))-SEARCH(";",'Special Help Table'!$A397)-2),AND(LEN('Special Help Table'!$A397)-LEN(SUBSTITUTE('Special Help Table'!$A397,"and ",""))=0,LEN('Special Help Table'!$A397)-LEN(SUBSTITUTE('Special Help Table'!$A397,";",""))=0),'Special Help Table'!$A397,AND(LEN('Special Help Table'!$A397)-LEN(SUBSTITUTE('Special Help Table'!$A397,",","")=1),LEN('Special Help Table'!$A397)-LEN(SUBSTITUTE('Special Help Table'!$A397," ","")=20),LEN('Special Help Table'!$A397)-LEN(SUBSTITUTE('Special Help Table'!$A397," and",""))=0,LEN('Special Help Table'!$A397)-LEN(SUBSTITUTE('Special Help Table'!$A397,",","",FIND(" ",'Special Help Table'!$A397)+1))=0),RIGHT('Special Help Table'!$A397,LEN('Special Help Table'!$A397)-FIND(", ",'Special Help Table'!$A397))&amp;" "&amp;LEFT('Special Help Table'!$A397,FIND(",",'Special Help Table'!$A397)-1),AND(LEN('Special Help Table'!$A397)-LEN(SUBSTITUTE('Special Help Table'!$A397,"editor",""))=6,LEN('Special Help Table'!$A397)-LEN(SUBSTITUTE('Special Help Table'!$A397,"(",""))=0,LEN('Special Help Table'!$A397)-LEN(SUBSTITUTE('Special Help Table'!$A397,"and",""))=3,LEN('Special Help Table'!$A397)-LEN(SUBSTITUTE('Special Help Table'!$A397,",",""))=1,LEN('Special Help Table'!$A397)-LEN(SUBSTITUTE('Special Help Table'!$A397," ",""))=3),'Special Help Table'!$A397)</f>
        <v xml:space="preserve"> Nancy Lohr</v>
      </c>
      <c r="C397" s="4" t="s">
        <v>787</v>
      </c>
      <c r="D397" s="2"/>
      <c r="E397" s="2" t="s">
        <v>16</v>
      </c>
      <c r="F397" s="2" t="s">
        <v>72</v>
      </c>
      <c r="G397" s="2"/>
      <c r="H397" s="2"/>
      <c r="I397" s="2"/>
      <c r="J397" s="2"/>
      <c r="K397" s="3">
        <v>41164</v>
      </c>
      <c r="L397" s="2"/>
      <c r="M397" s="2"/>
      <c r="N397" s="2" t="s">
        <v>18</v>
      </c>
    </row>
    <row r="398" spans="1:14" ht="15.75" customHeight="1" x14ac:dyDescent="0.35">
      <c r="A398" s="2" t="s">
        <v>788</v>
      </c>
      <c r="B398" s="2" t="str" cm="1">
        <f t="array" ref="B398">_xlfn.IFS(AND(LEN('Special Help Table'!$A398)-(LEN(SUBSTITUTE('Special Help Table'!$A398,";","")))=0,LEN('Special Help Table'!$A398)-LEN(SUBSTITUTE('Special Help Table'!$A398,",",""))=1,LEN('Special Help Table'!$A398)-LEN(SUBSTITUTE('Special Help Table'!$A398,"and ",""))=0),MID('Special Help Table'!$A398&amp;" "&amp;'Special Help Table'!$A398,SEARCH(", ",'Special Help Table'!$A398)+1,LEN('Special Help Table'!$A398)),AND(LEN('Special Help Table'!$A398)-(LEN(SUBSTITUTE('Special Help Table'!$A398,";","")))=1,LEN('Special Help Table'!$A398)-LEN(SUBSTITUTE('Special Help Table'!$A398,"and ",""))=0),MID('Special Help Table'!$A398,SEARCH(",",'Special Help Table'!$A398)+1,(SEARCH(";",'Special Help Table'!$A398)-1)-SEARCH(",",'Special Help Table'!$A398))&amp;" "&amp;LEFT('Special Help Table'!$A398,SEARCH(",",'Special Help Table'!$A398)-1)&amp;";"&amp;RIGHT('Special Help Table'!$A398,LEN('Special Help Table'!$A398)-SEARCH(",",'Special Help Table'!$A398,SEARCH(";",'Special Help Table'!$A398)))&amp;" "&amp;MID('Special Help Table'!$A398,SEARCH("; ",'Special Help Table'!$A398)+2,SEARCH(",",'Special Help Table'!$A398,SEARCH(";",'Special Help Table'!$A398))-SEARCH(";",'Special Help Table'!$A398)-2),AND(LEN('Special Help Table'!$A398)-LEN(SUBSTITUTE('Special Help Table'!$A398,"and ",""))=0,LEN('Special Help Table'!$A398)-LEN(SUBSTITUTE('Special Help Table'!$A398,";",""))=0),'Special Help Table'!$A398,AND(LEN('Special Help Table'!$A398)-LEN(SUBSTITUTE('Special Help Table'!$A398,",","")=1),LEN('Special Help Table'!$A398)-LEN(SUBSTITUTE('Special Help Table'!$A398," ","")=20),LEN('Special Help Table'!$A398)-LEN(SUBSTITUTE('Special Help Table'!$A398," and",""))=0,LEN('Special Help Table'!$A398)-LEN(SUBSTITUTE('Special Help Table'!$A398,",","",FIND(" ",'Special Help Table'!$A398)+1))=0),RIGHT('Special Help Table'!$A398,LEN('Special Help Table'!$A398)-FIND(", ",'Special Help Table'!$A398))&amp;" "&amp;LEFT('Special Help Table'!$A398,FIND(",",'Special Help Table'!$A398)-1),AND(LEN('Special Help Table'!$A398)-LEN(SUBSTITUTE('Special Help Table'!$A398,"editor",""))=6,LEN('Special Help Table'!$A398)-LEN(SUBSTITUTE('Special Help Table'!$A398,"(",""))=0,LEN('Special Help Table'!$A398)-LEN(SUBSTITUTE('Special Help Table'!$A398,"and",""))=3,LEN('Special Help Table'!$A398)-LEN(SUBSTITUTE('Special Help Table'!$A398,",",""))=1,LEN('Special Help Table'!$A398)-LEN(SUBSTITUTE('Special Help Table'!$A398," ",""))=3),'Special Help Table'!$A398)</f>
        <v xml:space="preserve"> Julie Lowe</v>
      </c>
      <c r="C398" s="4" t="s">
        <v>789</v>
      </c>
      <c r="D398" s="2"/>
      <c r="E398" s="2" t="s">
        <v>16</v>
      </c>
      <c r="F398" s="2" t="s">
        <v>17</v>
      </c>
      <c r="G398" s="2"/>
      <c r="H398" s="2"/>
      <c r="I398" s="2"/>
      <c r="J398" s="2" t="s">
        <v>790</v>
      </c>
      <c r="K398" s="3">
        <v>43832</v>
      </c>
      <c r="L398" s="2"/>
      <c r="M398" s="2"/>
      <c r="N398" s="2" t="s">
        <v>18</v>
      </c>
    </row>
    <row r="399" spans="1:14" ht="15.75" customHeight="1" x14ac:dyDescent="0.35">
      <c r="A399" s="2" t="s">
        <v>791</v>
      </c>
      <c r="B399" s="2" t="str" cm="1">
        <f t="array" ref="B399">_xlfn.IFS(AND(LEN('Special Help Table'!$A399)-(LEN(SUBSTITUTE('Special Help Table'!$A399,";","")))=0,LEN('Special Help Table'!$A399)-LEN(SUBSTITUTE('Special Help Table'!$A399,",",""))=1,LEN('Special Help Table'!$A399)-LEN(SUBSTITUTE('Special Help Table'!$A399,"and ",""))=0),MID('Special Help Table'!$A399&amp;" "&amp;'Special Help Table'!$A399,SEARCH(", ",'Special Help Table'!$A399)+1,LEN('Special Help Table'!$A399)),AND(LEN('Special Help Table'!$A399)-(LEN(SUBSTITUTE('Special Help Table'!$A399,";","")))=1,LEN('Special Help Table'!$A399)-LEN(SUBSTITUTE('Special Help Table'!$A399,"and ",""))=0),MID('Special Help Table'!$A399,SEARCH(",",'Special Help Table'!$A399)+1,(SEARCH(";",'Special Help Table'!$A399)-1)-SEARCH(",",'Special Help Table'!$A399))&amp;" "&amp;LEFT('Special Help Table'!$A399,SEARCH(",",'Special Help Table'!$A399)-1)&amp;";"&amp;RIGHT('Special Help Table'!$A399,LEN('Special Help Table'!$A399)-SEARCH(",",'Special Help Table'!$A399,SEARCH(";",'Special Help Table'!$A399)))&amp;" "&amp;MID('Special Help Table'!$A399,SEARCH("; ",'Special Help Table'!$A399)+2,SEARCH(",",'Special Help Table'!$A399,SEARCH(";",'Special Help Table'!$A399))-SEARCH(";",'Special Help Table'!$A399)-2),AND(LEN('Special Help Table'!$A399)-LEN(SUBSTITUTE('Special Help Table'!$A399,"and ",""))=0,LEN('Special Help Table'!$A399)-LEN(SUBSTITUTE('Special Help Table'!$A399,";",""))=0),'Special Help Table'!$A399,AND(LEN('Special Help Table'!$A399)-LEN(SUBSTITUTE('Special Help Table'!$A399,",","")=1),LEN('Special Help Table'!$A399)-LEN(SUBSTITUTE('Special Help Table'!$A399," ","")=20),LEN('Special Help Table'!$A399)-LEN(SUBSTITUTE('Special Help Table'!$A399," and",""))=0,LEN('Special Help Table'!$A399)-LEN(SUBSTITUTE('Special Help Table'!$A399,",","",FIND(" ",'Special Help Table'!$A399)+1))=0),RIGHT('Special Help Table'!$A399,LEN('Special Help Table'!$A399)-FIND(", ",'Special Help Table'!$A399))&amp;" "&amp;LEFT('Special Help Table'!$A399,FIND(",",'Special Help Table'!$A399)-1),AND(LEN('Special Help Table'!$A399)-LEN(SUBSTITUTE('Special Help Table'!$A399,"editor",""))=6,LEN('Special Help Table'!$A399)-LEN(SUBSTITUTE('Special Help Table'!$A399,"(",""))=0,LEN('Special Help Table'!$A399)-LEN(SUBSTITUTE('Special Help Table'!$A399,"and",""))=3,LEN('Special Help Table'!$A399)-LEN(SUBSTITUTE('Special Help Table'!$A399,",",""))=1,LEN('Special Help Table'!$A399)-LEN(SUBSTITUTE('Special Help Table'!$A399," ",""))=3),'Special Help Table'!$A399)</f>
        <v xml:space="preserve"> Charles Ludwig</v>
      </c>
      <c r="C399" s="4" t="s">
        <v>792</v>
      </c>
      <c r="D399" s="2"/>
      <c r="E399" s="2" t="s">
        <v>16</v>
      </c>
      <c r="F399" s="2" t="s">
        <v>39</v>
      </c>
      <c r="G399" s="2"/>
      <c r="H399" s="2"/>
      <c r="I399" s="2"/>
      <c r="J399" s="2"/>
      <c r="K399" s="3">
        <v>40048</v>
      </c>
      <c r="L399" s="2"/>
      <c r="M399" s="2"/>
      <c r="N399" s="2" t="s">
        <v>18</v>
      </c>
    </row>
    <row r="400" spans="1:14" ht="15.75" customHeight="1" x14ac:dyDescent="0.35">
      <c r="A400" s="2" t="s">
        <v>793</v>
      </c>
      <c r="B400" s="2" t="str" cm="1">
        <f t="array" ref="B400">_xlfn.IFS(AND(LEN('Special Help Table'!$A400)-(LEN(SUBSTITUTE('Special Help Table'!$A400,";","")))=0,LEN('Special Help Table'!$A400)-LEN(SUBSTITUTE('Special Help Table'!$A400,",",""))=1,LEN('Special Help Table'!$A400)-LEN(SUBSTITUTE('Special Help Table'!$A400,"and ",""))=0),MID('Special Help Table'!$A400&amp;" "&amp;'Special Help Table'!$A400,SEARCH(", ",'Special Help Table'!$A400)+1,LEN('Special Help Table'!$A400)),AND(LEN('Special Help Table'!$A400)-(LEN(SUBSTITUTE('Special Help Table'!$A400,";","")))=1,LEN('Special Help Table'!$A400)-LEN(SUBSTITUTE('Special Help Table'!$A400,"and ",""))=0),MID('Special Help Table'!$A400,SEARCH(",",'Special Help Table'!$A400)+1,(SEARCH(";",'Special Help Table'!$A400)-1)-SEARCH(",",'Special Help Table'!$A400))&amp;" "&amp;LEFT('Special Help Table'!$A400,SEARCH(",",'Special Help Table'!$A400)-1)&amp;";"&amp;RIGHT('Special Help Table'!$A400,LEN('Special Help Table'!$A400)-SEARCH(",",'Special Help Table'!$A400,SEARCH(";",'Special Help Table'!$A400)))&amp;" "&amp;MID('Special Help Table'!$A400,SEARCH("; ",'Special Help Table'!$A400)+2,SEARCH(",",'Special Help Table'!$A400,SEARCH(";",'Special Help Table'!$A400))-SEARCH(";",'Special Help Table'!$A400)-2),AND(LEN('Special Help Table'!$A400)-LEN(SUBSTITUTE('Special Help Table'!$A400,"and ",""))=0,LEN('Special Help Table'!$A400)-LEN(SUBSTITUTE('Special Help Table'!$A400,";",""))=0),'Special Help Table'!$A400,AND(LEN('Special Help Table'!$A400)-LEN(SUBSTITUTE('Special Help Table'!$A400,",","")=1),LEN('Special Help Table'!$A400)-LEN(SUBSTITUTE('Special Help Table'!$A400," ","")=20),LEN('Special Help Table'!$A400)-LEN(SUBSTITUTE('Special Help Table'!$A400," and",""))=0,LEN('Special Help Table'!$A400)-LEN(SUBSTITUTE('Special Help Table'!$A400,",","",FIND(" ",'Special Help Table'!$A400)+1))=0),RIGHT('Special Help Table'!$A400,LEN('Special Help Table'!$A400)-FIND(", ",'Special Help Table'!$A400))&amp;" "&amp;LEFT('Special Help Table'!$A400,FIND(",",'Special Help Table'!$A400)-1),AND(LEN('Special Help Table'!$A400)-LEN(SUBSTITUTE('Special Help Table'!$A400,"editor",""))=6,LEN('Special Help Table'!$A400)-LEN(SUBSTITUTE('Special Help Table'!$A400,"(",""))=0,LEN('Special Help Table'!$A400)-LEN(SUBSTITUTE('Special Help Table'!$A400,"and",""))=3,LEN('Special Help Table'!$A400)-LEN(SUBSTITUTE('Special Help Table'!$A400,",",""))=1,LEN('Special Help Table'!$A400)-LEN(SUBSTITUTE('Special Help Table'!$A400," ",""))=3),'Special Help Table'!$A400)</f>
        <v xml:space="preserve"> Kris Lundgaard</v>
      </c>
      <c r="C400" s="4" t="s">
        <v>794</v>
      </c>
      <c r="D400" s="2"/>
      <c r="E400" s="2" t="s">
        <v>16</v>
      </c>
      <c r="F400" s="2" t="s">
        <v>28</v>
      </c>
      <c r="G400" s="2" t="s">
        <v>36</v>
      </c>
      <c r="H400" s="2"/>
      <c r="I400" s="2"/>
      <c r="J400" s="2" t="s">
        <v>97</v>
      </c>
      <c r="K400" s="3">
        <v>40951</v>
      </c>
      <c r="L400" s="2"/>
      <c r="M400" s="2"/>
      <c r="N400" s="2" t="s">
        <v>18</v>
      </c>
    </row>
    <row r="401" spans="1:14" ht="15.75" customHeight="1" x14ac:dyDescent="0.35">
      <c r="A401" s="2" t="s">
        <v>795</v>
      </c>
      <c r="B401" s="2" t="str" cm="1">
        <f t="array" ref="B401">_xlfn.IFS(AND(LEN('Special Help Table'!$A401)-(LEN(SUBSTITUTE('Special Help Table'!$A401,";","")))=0,LEN('Special Help Table'!$A401)-LEN(SUBSTITUTE('Special Help Table'!$A401,",",""))=1,LEN('Special Help Table'!$A401)-LEN(SUBSTITUTE('Special Help Table'!$A401,"and ",""))=0),MID('Special Help Table'!$A401&amp;" "&amp;'Special Help Table'!$A401,SEARCH(", ",'Special Help Table'!$A401)+1,LEN('Special Help Table'!$A401)),AND(LEN('Special Help Table'!$A401)-(LEN(SUBSTITUTE('Special Help Table'!$A401,";","")))=1,LEN('Special Help Table'!$A401)-LEN(SUBSTITUTE('Special Help Table'!$A401,"and ",""))=0),MID('Special Help Table'!$A401,SEARCH(",",'Special Help Table'!$A401)+1,(SEARCH(";",'Special Help Table'!$A401)-1)-SEARCH(",",'Special Help Table'!$A401))&amp;" "&amp;LEFT('Special Help Table'!$A401,SEARCH(",",'Special Help Table'!$A401)-1)&amp;";"&amp;RIGHT('Special Help Table'!$A401,LEN('Special Help Table'!$A401)-SEARCH(",",'Special Help Table'!$A401,SEARCH(";",'Special Help Table'!$A401)))&amp;" "&amp;MID('Special Help Table'!$A401,SEARCH("; ",'Special Help Table'!$A401)+2,SEARCH(",",'Special Help Table'!$A401,SEARCH(";",'Special Help Table'!$A401))-SEARCH(";",'Special Help Table'!$A401)-2),AND(LEN('Special Help Table'!$A401)-LEN(SUBSTITUTE('Special Help Table'!$A401,"and ",""))=0,LEN('Special Help Table'!$A401)-LEN(SUBSTITUTE('Special Help Table'!$A401,";",""))=0),'Special Help Table'!$A401,AND(LEN('Special Help Table'!$A401)-LEN(SUBSTITUTE('Special Help Table'!$A401,",","")=1),LEN('Special Help Table'!$A401)-LEN(SUBSTITUTE('Special Help Table'!$A401," ","")=20),LEN('Special Help Table'!$A401)-LEN(SUBSTITUTE('Special Help Table'!$A401," and",""))=0,LEN('Special Help Table'!$A401)-LEN(SUBSTITUTE('Special Help Table'!$A401,",","",FIND(" ",'Special Help Table'!$A401)+1))=0),RIGHT('Special Help Table'!$A401,LEN('Special Help Table'!$A401)-FIND(", ",'Special Help Table'!$A401))&amp;" "&amp;LEFT('Special Help Table'!$A401,FIND(",",'Special Help Table'!$A401)-1),AND(LEN('Special Help Table'!$A401)-LEN(SUBSTITUTE('Special Help Table'!$A401,"editor",""))=6,LEN('Special Help Table'!$A401)-LEN(SUBSTITUTE('Special Help Table'!$A401,"(",""))=0,LEN('Special Help Table'!$A401)-LEN(SUBSTITUTE('Special Help Table'!$A401,"and",""))=3,LEN('Special Help Table'!$A401)-LEN(SUBSTITUTE('Special Help Table'!$A401,",",""))=1,LEN('Special Help Table'!$A401)-LEN(SUBSTITUTE('Special Help Table'!$A401," ",""))=3),'Special Help Table'!$A401)</f>
        <v xml:space="preserve"> Robert D Lupton</v>
      </c>
      <c r="C401" s="4" t="s">
        <v>796</v>
      </c>
      <c r="D401" s="2"/>
      <c r="E401" s="2" t="s">
        <v>16</v>
      </c>
      <c r="F401" s="2" t="s">
        <v>17</v>
      </c>
      <c r="G401" s="2"/>
      <c r="H401" s="2"/>
      <c r="I401" s="2"/>
      <c r="J401" s="2" t="s">
        <v>323</v>
      </c>
      <c r="K401" s="3">
        <v>41560</v>
      </c>
      <c r="L401" s="2"/>
      <c r="M401" s="2"/>
      <c r="N401" s="2" t="s">
        <v>18</v>
      </c>
    </row>
    <row r="402" spans="1:14" ht="15.75" customHeight="1" x14ac:dyDescent="0.35">
      <c r="A402" s="2" t="s">
        <v>797</v>
      </c>
      <c r="B402" s="2" t="str" cm="1">
        <f t="array" ref="B402">_xlfn.IFS(AND(LEN('Special Help Table'!$A402)-(LEN(SUBSTITUTE('Special Help Table'!$A402,";","")))=0,LEN('Special Help Table'!$A402)-LEN(SUBSTITUTE('Special Help Table'!$A402,",",""))=1,LEN('Special Help Table'!$A402)-LEN(SUBSTITUTE('Special Help Table'!$A402,"and ",""))=0),MID('Special Help Table'!$A402&amp;" "&amp;'Special Help Table'!$A402,SEARCH(", ",'Special Help Table'!$A402)+1,LEN('Special Help Table'!$A402)),AND(LEN('Special Help Table'!$A402)-(LEN(SUBSTITUTE('Special Help Table'!$A402,";","")))=1,LEN('Special Help Table'!$A402)-LEN(SUBSTITUTE('Special Help Table'!$A402,"and ",""))=0),MID('Special Help Table'!$A402,SEARCH(",",'Special Help Table'!$A402)+1,(SEARCH(";",'Special Help Table'!$A402)-1)-SEARCH(",",'Special Help Table'!$A402))&amp;" "&amp;LEFT('Special Help Table'!$A402,SEARCH(",",'Special Help Table'!$A402)-1)&amp;";"&amp;RIGHT('Special Help Table'!$A402,LEN('Special Help Table'!$A402)-SEARCH(",",'Special Help Table'!$A402,SEARCH(";",'Special Help Table'!$A402)))&amp;" "&amp;MID('Special Help Table'!$A402,SEARCH("; ",'Special Help Table'!$A402)+2,SEARCH(",",'Special Help Table'!$A402,SEARCH(";",'Special Help Table'!$A402))-SEARCH(";",'Special Help Table'!$A402)-2),AND(LEN('Special Help Table'!$A402)-LEN(SUBSTITUTE('Special Help Table'!$A402,"and ",""))=0,LEN('Special Help Table'!$A402)-LEN(SUBSTITUTE('Special Help Table'!$A402,";",""))=0),'Special Help Table'!$A402,AND(LEN('Special Help Table'!$A402)-LEN(SUBSTITUTE('Special Help Table'!$A402,",","")=1),LEN('Special Help Table'!$A402)-LEN(SUBSTITUTE('Special Help Table'!$A402," ","")=20),LEN('Special Help Table'!$A402)-LEN(SUBSTITUTE('Special Help Table'!$A402," and",""))=0,LEN('Special Help Table'!$A402)-LEN(SUBSTITUTE('Special Help Table'!$A402,",","",FIND(" ",'Special Help Table'!$A402)+1))=0),RIGHT('Special Help Table'!$A402,LEN('Special Help Table'!$A402)-FIND(", ",'Special Help Table'!$A402))&amp;" "&amp;LEFT('Special Help Table'!$A402,FIND(",",'Special Help Table'!$A402)-1),AND(LEN('Special Help Table'!$A402)-LEN(SUBSTITUTE('Special Help Table'!$A402,"editor",""))=6,LEN('Special Help Table'!$A402)-LEN(SUBSTITUTE('Special Help Table'!$A402,"(",""))=0,LEN('Special Help Table'!$A402)-LEN(SUBSTITUTE('Special Help Table'!$A402,"and",""))=3,LEN('Special Help Table'!$A402)-LEN(SUBSTITUTE('Special Help Table'!$A402,",",""))=1,LEN('Special Help Table'!$A402)-LEN(SUBSTITUTE('Special Help Table'!$A402," ",""))=3),'Special Help Table'!$A402)</f>
        <v xml:space="preserve"> Erwin W Lutzer</v>
      </c>
      <c r="C402" s="4" t="s">
        <v>798</v>
      </c>
      <c r="D402" s="2"/>
      <c r="E402" s="2" t="s">
        <v>16</v>
      </c>
      <c r="F402" s="2" t="s">
        <v>28</v>
      </c>
      <c r="G402" s="2"/>
      <c r="H402" s="2"/>
      <c r="I402" s="2"/>
      <c r="J402" s="2"/>
      <c r="K402" s="3">
        <v>40705</v>
      </c>
      <c r="L402" s="2"/>
      <c r="M402" s="2"/>
      <c r="N402" s="2" t="s">
        <v>18</v>
      </c>
    </row>
    <row r="403" spans="1:14" ht="15.75" customHeight="1" x14ac:dyDescent="0.35">
      <c r="A403" s="2" t="s">
        <v>797</v>
      </c>
      <c r="B403" s="2" t="str" cm="1">
        <f t="array" ref="B403">_xlfn.IFS(AND(LEN('Special Help Table'!$A403)-(LEN(SUBSTITUTE('Special Help Table'!$A403,";","")))=0,LEN('Special Help Table'!$A403)-LEN(SUBSTITUTE('Special Help Table'!$A403,",",""))=1,LEN('Special Help Table'!$A403)-LEN(SUBSTITUTE('Special Help Table'!$A403,"and ",""))=0),MID('Special Help Table'!$A403&amp;" "&amp;'Special Help Table'!$A403,SEARCH(", ",'Special Help Table'!$A403)+1,LEN('Special Help Table'!$A403)),AND(LEN('Special Help Table'!$A403)-(LEN(SUBSTITUTE('Special Help Table'!$A403,";","")))=1,LEN('Special Help Table'!$A403)-LEN(SUBSTITUTE('Special Help Table'!$A403,"and ",""))=0),MID('Special Help Table'!$A403,SEARCH(",",'Special Help Table'!$A403)+1,(SEARCH(";",'Special Help Table'!$A403)-1)-SEARCH(",",'Special Help Table'!$A403))&amp;" "&amp;LEFT('Special Help Table'!$A403,SEARCH(",",'Special Help Table'!$A403)-1)&amp;";"&amp;RIGHT('Special Help Table'!$A403,LEN('Special Help Table'!$A403)-SEARCH(",",'Special Help Table'!$A403,SEARCH(";",'Special Help Table'!$A403)))&amp;" "&amp;MID('Special Help Table'!$A403,SEARCH("; ",'Special Help Table'!$A403)+2,SEARCH(",",'Special Help Table'!$A403,SEARCH(";",'Special Help Table'!$A403))-SEARCH(";",'Special Help Table'!$A403)-2),AND(LEN('Special Help Table'!$A403)-LEN(SUBSTITUTE('Special Help Table'!$A403,"and ",""))=0,LEN('Special Help Table'!$A403)-LEN(SUBSTITUTE('Special Help Table'!$A403,";",""))=0),'Special Help Table'!$A403,AND(LEN('Special Help Table'!$A403)-LEN(SUBSTITUTE('Special Help Table'!$A403,",","")=1),LEN('Special Help Table'!$A403)-LEN(SUBSTITUTE('Special Help Table'!$A403," ","")=20),LEN('Special Help Table'!$A403)-LEN(SUBSTITUTE('Special Help Table'!$A403," and",""))=0,LEN('Special Help Table'!$A403)-LEN(SUBSTITUTE('Special Help Table'!$A403,",","",FIND(" ",'Special Help Table'!$A403)+1))=0),RIGHT('Special Help Table'!$A403,LEN('Special Help Table'!$A403)-FIND(", ",'Special Help Table'!$A403))&amp;" "&amp;LEFT('Special Help Table'!$A403,FIND(",",'Special Help Table'!$A403)-1),AND(LEN('Special Help Table'!$A403)-LEN(SUBSTITUTE('Special Help Table'!$A403,"editor",""))=6,LEN('Special Help Table'!$A403)-LEN(SUBSTITUTE('Special Help Table'!$A403,"(",""))=0,LEN('Special Help Table'!$A403)-LEN(SUBSTITUTE('Special Help Table'!$A403,"and",""))=3,LEN('Special Help Table'!$A403)-LEN(SUBSTITUTE('Special Help Table'!$A403,",",""))=1,LEN('Special Help Table'!$A403)-LEN(SUBSTITUTE('Special Help Table'!$A403," ",""))=3),'Special Help Table'!$A403)</f>
        <v xml:space="preserve"> Erwin W Lutzer</v>
      </c>
      <c r="C403" s="4" t="s">
        <v>799</v>
      </c>
      <c r="D403" s="2"/>
      <c r="E403" s="2" t="s">
        <v>16</v>
      </c>
      <c r="F403" s="2" t="s">
        <v>17</v>
      </c>
      <c r="G403" s="2"/>
      <c r="H403" s="2"/>
      <c r="I403" s="2"/>
      <c r="J403" s="2"/>
      <c r="K403" s="3">
        <v>40858</v>
      </c>
      <c r="L403" s="2"/>
      <c r="M403" s="2"/>
      <c r="N403" s="2" t="s">
        <v>18</v>
      </c>
    </row>
    <row r="404" spans="1:14" ht="15.75" customHeight="1" x14ac:dyDescent="0.35">
      <c r="A404" s="2" t="s">
        <v>797</v>
      </c>
      <c r="B404" s="2" t="str" cm="1">
        <f t="array" ref="B404">_xlfn.IFS(AND(LEN('Special Help Table'!$A404)-(LEN(SUBSTITUTE('Special Help Table'!$A404,";","")))=0,LEN('Special Help Table'!$A404)-LEN(SUBSTITUTE('Special Help Table'!$A404,",",""))=1,LEN('Special Help Table'!$A404)-LEN(SUBSTITUTE('Special Help Table'!$A404,"and ",""))=0),MID('Special Help Table'!$A404&amp;" "&amp;'Special Help Table'!$A404,SEARCH(", ",'Special Help Table'!$A404)+1,LEN('Special Help Table'!$A404)),AND(LEN('Special Help Table'!$A404)-(LEN(SUBSTITUTE('Special Help Table'!$A404,";","")))=1,LEN('Special Help Table'!$A404)-LEN(SUBSTITUTE('Special Help Table'!$A404,"and ",""))=0),MID('Special Help Table'!$A404,SEARCH(",",'Special Help Table'!$A404)+1,(SEARCH(";",'Special Help Table'!$A404)-1)-SEARCH(",",'Special Help Table'!$A404))&amp;" "&amp;LEFT('Special Help Table'!$A404,SEARCH(",",'Special Help Table'!$A404)-1)&amp;";"&amp;RIGHT('Special Help Table'!$A404,LEN('Special Help Table'!$A404)-SEARCH(",",'Special Help Table'!$A404,SEARCH(";",'Special Help Table'!$A404)))&amp;" "&amp;MID('Special Help Table'!$A404,SEARCH("; ",'Special Help Table'!$A404)+2,SEARCH(",",'Special Help Table'!$A404,SEARCH(";",'Special Help Table'!$A404))-SEARCH(";",'Special Help Table'!$A404)-2),AND(LEN('Special Help Table'!$A404)-LEN(SUBSTITUTE('Special Help Table'!$A404,"and ",""))=0,LEN('Special Help Table'!$A404)-LEN(SUBSTITUTE('Special Help Table'!$A404,";",""))=0),'Special Help Table'!$A404,AND(LEN('Special Help Table'!$A404)-LEN(SUBSTITUTE('Special Help Table'!$A404,",","")=1),LEN('Special Help Table'!$A404)-LEN(SUBSTITUTE('Special Help Table'!$A404," ","")=20),LEN('Special Help Table'!$A404)-LEN(SUBSTITUTE('Special Help Table'!$A404," and",""))=0,LEN('Special Help Table'!$A404)-LEN(SUBSTITUTE('Special Help Table'!$A404,",","",FIND(" ",'Special Help Table'!$A404)+1))=0),RIGHT('Special Help Table'!$A404,LEN('Special Help Table'!$A404)-FIND(", ",'Special Help Table'!$A404))&amp;" "&amp;LEFT('Special Help Table'!$A404,FIND(",",'Special Help Table'!$A404)-1),AND(LEN('Special Help Table'!$A404)-LEN(SUBSTITUTE('Special Help Table'!$A404,"editor",""))=6,LEN('Special Help Table'!$A404)-LEN(SUBSTITUTE('Special Help Table'!$A404,"(",""))=0,LEN('Special Help Table'!$A404)-LEN(SUBSTITUTE('Special Help Table'!$A404,"and",""))=3,LEN('Special Help Table'!$A404)-LEN(SUBSTITUTE('Special Help Table'!$A404,",",""))=1,LEN('Special Help Table'!$A404)-LEN(SUBSTITUTE('Special Help Table'!$A404," ",""))=3),'Special Help Table'!$A404)</f>
        <v xml:space="preserve"> Erwin W Lutzer</v>
      </c>
      <c r="C404" s="4" t="s">
        <v>800</v>
      </c>
      <c r="D404" s="2"/>
      <c r="E404" s="2" t="s">
        <v>16</v>
      </c>
      <c r="F404" s="2" t="s">
        <v>17</v>
      </c>
      <c r="G404" s="2"/>
      <c r="H404" s="2"/>
      <c r="I404" s="2"/>
      <c r="J404" s="2" t="s">
        <v>801</v>
      </c>
      <c r="K404" s="3">
        <v>40049</v>
      </c>
      <c r="L404" s="2"/>
      <c r="M404" s="2"/>
      <c r="N404" s="2" t="s">
        <v>18</v>
      </c>
    </row>
    <row r="405" spans="1:14" ht="15.75" customHeight="1" x14ac:dyDescent="0.35">
      <c r="A405" s="2" t="s">
        <v>802</v>
      </c>
      <c r="B405" s="2" t="str" cm="1">
        <f t="array" ref="B405">_xlfn.IFS(AND(LEN('Special Help Table'!$A405)-(LEN(SUBSTITUTE('Special Help Table'!$A405,";","")))=0,LEN('Special Help Table'!$A405)-LEN(SUBSTITUTE('Special Help Table'!$A405,",",""))=1,LEN('Special Help Table'!$A405)-LEN(SUBSTITUTE('Special Help Table'!$A405,"and ",""))=0),MID('Special Help Table'!$A405&amp;" "&amp;'Special Help Table'!$A405,SEARCH(", ",'Special Help Table'!$A405)+1,LEN('Special Help Table'!$A405)),AND(LEN('Special Help Table'!$A405)-(LEN(SUBSTITUTE('Special Help Table'!$A405,";","")))=1,LEN('Special Help Table'!$A405)-LEN(SUBSTITUTE('Special Help Table'!$A405,"and ",""))=0),MID('Special Help Table'!$A405,SEARCH(",",'Special Help Table'!$A405)+1,(SEARCH(";",'Special Help Table'!$A405)-1)-SEARCH(",",'Special Help Table'!$A405))&amp;" "&amp;LEFT('Special Help Table'!$A405,SEARCH(",",'Special Help Table'!$A405)-1)&amp;";"&amp;RIGHT('Special Help Table'!$A405,LEN('Special Help Table'!$A405)-SEARCH(",",'Special Help Table'!$A405,SEARCH(";",'Special Help Table'!$A405)))&amp;" "&amp;MID('Special Help Table'!$A405,SEARCH("; ",'Special Help Table'!$A405)+2,SEARCH(",",'Special Help Table'!$A405,SEARCH(";",'Special Help Table'!$A405))-SEARCH(";",'Special Help Table'!$A405)-2),AND(LEN('Special Help Table'!$A405)-LEN(SUBSTITUTE('Special Help Table'!$A405,"and ",""))=0,LEN('Special Help Table'!$A405)-LEN(SUBSTITUTE('Special Help Table'!$A405,";",""))=0),'Special Help Table'!$A405,AND(LEN('Special Help Table'!$A405)-LEN(SUBSTITUTE('Special Help Table'!$A405,",","")=1),LEN('Special Help Table'!$A405)-LEN(SUBSTITUTE('Special Help Table'!$A405," ","")=20),LEN('Special Help Table'!$A405)-LEN(SUBSTITUTE('Special Help Table'!$A405," and",""))=0,LEN('Special Help Table'!$A405)-LEN(SUBSTITUTE('Special Help Table'!$A405,",","",FIND(" ",'Special Help Table'!$A405)+1))=0),RIGHT('Special Help Table'!$A405,LEN('Special Help Table'!$A405)-FIND(", ",'Special Help Table'!$A405))&amp;" "&amp;LEFT('Special Help Table'!$A405,FIND(",",'Special Help Table'!$A405)-1),AND(LEN('Special Help Table'!$A405)-LEN(SUBSTITUTE('Special Help Table'!$A405,"editor",""))=6,LEN('Special Help Table'!$A405)-LEN(SUBSTITUTE('Special Help Table'!$A405,"(",""))=0,LEN('Special Help Table'!$A405)-LEN(SUBSTITUTE('Special Help Table'!$A405,"and",""))=3,LEN('Special Help Table'!$A405)-LEN(SUBSTITUTE('Special Help Table'!$A405,",",""))=1,LEN('Special Help Table'!$A405)-LEN(SUBSTITUTE('Special Help Table'!$A405," ",""))=3),'Special Help Table'!$A405)</f>
        <v xml:space="preserve"> John MacArthur</v>
      </c>
      <c r="C405" s="4" t="s">
        <v>803</v>
      </c>
      <c r="D405" s="2"/>
      <c r="E405" s="2" t="s">
        <v>16</v>
      </c>
      <c r="F405" s="2" t="s">
        <v>36</v>
      </c>
      <c r="G405" s="2"/>
      <c r="H405" s="2"/>
      <c r="I405" s="2"/>
      <c r="J405" s="2"/>
      <c r="K405" s="3">
        <v>40035</v>
      </c>
      <c r="L405" s="2"/>
      <c r="M405" s="2"/>
      <c r="N405" s="2" t="s">
        <v>18</v>
      </c>
    </row>
    <row r="406" spans="1:14" ht="15.75" customHeight="1" x14ac:dyDescent="0.35">
      <c r="A406" s="2" t="s">
        <v>802</v>
      </c>
      <c r="B406" s="2" t="str" cm="1">
        <f t="array" ref="B406">_xlfn.IFS(AND(LEN('Special Help Table'!$A406)-(LEN(SUBSTITUTE('Special Help Table'!$A406,";","")))=0,LEN('Special Help Table'!$A406)-LEN(SUBSTITUTE('Special Help Table'!$A406,",",""))=1,LEN('Special Help Table'!$A406)-LEN(SUBSTITUTE('Special Help Table'!$A406,"and ",""))=0),MID('Special Help Table'!$A406&amp;" "&amp;'Special Help Table'!$A406,SEARCH(", ",'Special Help Table'!$A406)+1,LEN('Special Help Table'!$A406)),AND(LEN('Special Help Table'!$A406)-(LEN(SUBSTITUTE('Special Help Table'!$A406,";","")))=1,LEN('Special Help Table'!$A406)-LEN(SUBSTITUTE('Special Help Table'!$A406,"and ",""))=0),MID('Special Help Table'!$A406,SEARCH(",",'Special Help Table'!$A406)+1,(SEARCH(";",'Special Help Table'!$A406)-1)-SEARCH(",",'Special Help Table'!$A406))&amp;" "&amp;LEFT('Special Help Table'!$A406,SEARCH(",",'Special Help Table'!$A406)-1)&amp;";"&amp;RIGHT('Special Help Table'!$A406,LEN('Special Help Table'!$A406)-SEARCH(",",'Special Help Table'!$A406,SEARCH(";",'Special Help Table'!$A406)))&amp;" "&amp;MID('Special Help Table'!$A406,SEARCH("; ",'Special Help Table'!$A406)+2,SEARCH(",",'Special Help Table'!$A406,SEARCH(";",'Special Help Table'!$A406))-SEARCH(";",'Special Help Table'!$A406)-2),AND(LEN('Special Help Table'!$A406)-LEN(SUBSTITUTE('Special Help Table'!$A406,"and ",""))=0,LEN('Special Help Table'!$A406)-LEN(SUBSTITUTE('Special Help Table'!$A406,";",""))=0),'Special Help Table'!$A406,AND(LEN('Special Help Table'!$A406)-LEN(SUBSTITUTE('Special Help Table'!$A406,",","")=1),LEN('Special Help Table'!$A406)-LEN(SUBSTITUTE('Special Help Table'!$A406," ","")=20),LEN('Special Help Table'!$A406)-LEN(SUBSTITUTE('Special Help Table'!$A406," and",""))=0,LEN('Special Help Table'!$A406)-LEN(SUBSTITUTE('Special Help Table'!$A406,",","",FIND(" ",'Special Help Table'!$A406)+1))=0),RIGHT('Special Help Table'!$A406,LEN('Special Help Table'!$A406)-FIND(", ",'Special Help Table'!$A406))&amp;" "&amp;LEFT('Special Help Table'!$A406,FIND(",",'Special Help Table'!$A406)-1),AND(LEN('Special Help Table'!$A406)-LEN(SUBSTITUTE('Special Help Table'!$A406,"editor",""))=6,LEN('Special Help Table'!$A406)-LEN(SUBSTITUTE('Special Help Table'!$A406,"(",""))=0,LEN('Special Help Table'!$A406)-LEN(SUBSTITUTE('Special Help Table'!$A406,"and",""))=3,LEN('Special Help Table'!$A406)-LEN(SUBSTITUTE('Special Help Table'!$A406,",",""))=1,LEN('Special Help Table'!$A406)-LEN(SUBSTITUTE('Special Help Table'!$A406," ",""))=3),'Special Help Table'!$A406)</f>
        <v xml:space="preserve"> John MacArthur</v>
      </c>
      <c r="C406" s="4" t="s">
        <v>804</v>
      </c>
      <c r="D406" s="2"/>
      <c r="E406" s="2" t="s">
        <v>805</v>
      </c>
      <c r="F406" s="2" t="s">
        <v>33</v>
      </c>
      <c r="G406" s="2"/>
      <c r="H406" s="2"/>
      <c r="I406" s="2"/>
      <c r="J406" s="2"/>
      <c r="K406" s="3">
        <v>40036</v>
      </c>
      <c r="L406" s="2" t="s">
        <v>331</v>
      </c>
      <c r="M406" s="2"/>
      <c r="N406" s="2" t="s">
        <v>18</v>
      </c>
    </row>
    <row r="407" spans="1:14" ht="15.75" customHeight="1" x14ac:dyDescent="0.35">
      <c r="A407" s="2" t="s">
        <v>802</v>
      </c>
      <c r="B407" s="2" t="str" cm="1">
        <f t="array" ref="B407">_xlfn.IFS(AND(LEN('Special Help Table'!$A407)-(LEN(SUBSTITUTE('Special Help Table'!$A407,";","")))=0,LEN('Special Help Table'!$A407)-LEN(SUBSTITUTE('Special Help Table'!$A407,",",""))=1,LEN('Special Help Table'!$A407)-LEN(SUBSTITUTE('Special Help Table'!$A407,"and ",""))=0),MID('Special Help Table'!$A407&amp;" "&amp;'Special Help Table'!$A407,SEARCH(", ",'Special Help Table'!$A407)+1,LEN('Special Help Table'!$A407)),AND(LEN('Special Help Table'!$A407)-(LEN(SUBSTITUTE('Special Help Table'!$A407,";","")))=1,LEN('Special Help Table'!$A407)-LEN(SUBSTITUTE('Special Help Table'!$A407,"and ",""))=0),MID('Special Help Table'!$A407,SEARCH(",",'Special Help Table'!$A407)+1,(SEARCH(";",'Special Help Table'!$A407)-1)-SEARCH(",",'Special Help Table'!$A407))&amp;" "&amp;LEFT('Special Help Table'!$A407,SEARCH(",",'Special Help Table'!$A407)-1)&amp;";"&amp;RIGHT('Special Help Table'!$A407,LEN('Special Help Table'!$A407)-SEARCH(",",'Special Help Table'!$A407,SEARCH(";",'Special Help Table'!$A407)))&amp;" "&amp;MID('Special Help Table'!$A407,SEARCH("; ",'Special Help Table'!$A407)+2,SEARCH(",",'Special Help Table'!$A407,SEARCH(";",'Special Help Table'!$A407))-SEARCH(";",'Special Help Table'!$A407)-2),AND(LEN('Special Help Table'!$A407)-LEN(SUBSTITUTE('Special Help Table'!$A407,"and ",""))=0,LEN('Special Help Table'!$A407)-LEN(SUBSTITUTE('Special Help Table'!$A407,";",""))=0),'Special Help Table'!$A407,AND(LEN('Special Help Table'!$A407)-LEN(SUBSTITUTE('Special Help Table'!$A407,",","")=1),LEN('Special Help Table'!$A407)-LEN(SUBSTITUTE('Special Help Table'!$A407," ","")=20),LEN('Special Help Table'!$A407)-LEN(SUBSTITUTE('Special Help Table'!$A407," and",""))=0,LEN('Special Help Table'!$A407)-LEN(SUBSTITUTE('Special Help Table'!$A407,",","",FIND(" ",'Special Help Table'!$A407)+1))=0),RIGHT('Special Help Table'!$A407,LEN('Special Help Table'!$A407)-FIND(", ",'Special Help Table'!$A407))&amp;" "&amp;LEFT('Special Help Table'!$A407,FIND(",",'Special Help Table'!$A407)-1),AND(LEN('Special Help Table'!$A407)-LEN(SUBSTITUTE('Special Help Table'!$A407,"editor",""))=6,LEN('Special Help Table'!$A407)-LEN(SUBSTITUTE('Special Help Table'!$A407,"(",""))=0,LEN('Special Help Table'!$A407)-LEN(SUBSTITUTE('Special Help Table'!$A407,"and",""))=3,LEN('Special Help Table'!$A407)-LEN(SUBSTITUTE('Special Help Table'!$A407,",",""))=1,LEN('Special Help Table'!$A407)-LEN(SUBSTITUTE('Special Help Table'!$A407," ",""))=3),'Special Help Table'!$A407)</f>
        <v xml:space="preserve"> John MacArthur</v>
      </c>
      <c r="C407" s="4" t="s">
        <v>806</v>
      </c>
      <c r="D407" s="2"/>
      <c r="E407" s="2" t="s">
        <v>16</v>
      </c>
      <c r="F407" s="2" t="s">
        <v>76</v>
      </c>
      <c r="G407" s="2"/>
      <c r="H407" s="2"/>
      <c r="I407" s="2"/>
      <c r="J407" s="2"/>
      <c r="K407" s="3">
        <v>40037</v>
      </c>
      <c r="L407" s="2"/>
      <c r="M407" s="2"/>
      <c r="N407" s="2" t="s">
        <v>18</v>
      </c>
    </row>
    <row r="408" spans="1:14" ht="15.75" customHeight="1" x14ac:dyDescent="0.35">
      <c r="A408" s="2" t="s">
        <v>802</v>
      </c>
      <c r="B408" s="2" t="str" cm="1">
        <f t="array" ref="B408">_xlfn.IFS(AND(LEN('Special Help Table'!$A408)-(LEN(SUBSTITUTE('Special Help Table'!$A408,";","")))=0,LEN('Special Help Table'!$A408)-LEN(SUBSTITUTE('Special Help Table'!$A408,",",""))=1,LEN('Special Help Table'!$A408)-LEN(SUBSTITUTE('Special Help Table'!$A408,"and ",""))=0),MID('Special Help Table'!$A408&amp;" "&amp;'Special Help Table'!$A408,SEARCH(", ",'Special Help Table'!$A408)+1,LEN('Special Help Table'!$A408)),AND(LEN('Special Help Table'!$A408)-(LEN(SUBSTITUTE('Special Help Table'!$A408,";","")))=1,LEN('Special Help Table'!$A408)-LEN(SUBSTITUTE('Special Help Table'!$A408,"and ",""))=0),MID('Special Help Table'!$A408,SEARCH(",",'Special Help Table'!$A408)+1,(SEARCH(";",'Special Help Table'!$A408)-1)-SEARCH(",",'Special Help Table'!$A408))&amp;" "&amp;LEFT('Special Help Table'!$A408,SEARCH(",",'Special Help Table'!$A408)-1)&amp;";"&amp;RIGHT('Special Help Table'!$A408,LEN('Special Help Table'!$A408)-SEARCH(",",'Special Help Table'!$A408,SEARCH(";",'Special Help Table'!$A408)))&amp;" "&amp;MID('Special Help Table'!$A408,SEARCH("; ",'Special Help Table'!$A408)+2,SEARCH(",",'Special Help Table'!$A408,SEARCH(";",'Special Help Table'!$A408))-SEARCH(";",'Special Help Table'!$A408)-2),AND(LEN('Special Help Table'!$A408)-LEN(SUBSTITUTE('Special Help Table'!$A408,"and ",""))=0,LEN('Special Help Table'!$A408)-LEN(SUBSTITUTE('Special Help Table'!$A408,";",""))=0),'Special Help Table'!$A408,AND(LEN('Special Help Table'!$A408)-LEN(SUBSTITUTE('Special Help Table'!$A408,",","")=1),LEN('Special Help Table'!$A408)-LEN(SUBSTITUTE('Special Help Table'!$A408," ","")=20),LEN('Special Help Table'!$A408)-LEN(SUBSTITUTE('Special Help Table'!$A408," and",""))=0,LEN('Special Help Table'!$A408)-LEN(SUBSTITUTE('Special Help Table'!$A408,",","",FIND(" ",'Special Help Table'!$A408)+1))=0),RIGHT('Special Help Table'!$A408,LEN('Special Help Table'!$A408)-FIND(", ",'Special Help Table'!$A408))&amp;" "&amp;LEFT('Special Help Table'!$A408,FIND(",",'Special Help Table'!$A408)-1),AND(LEN('Special Help Table'!$A408)-LEN(SUBSTITUTE('Special Help Table'!$A408,"editor",""))=6,LEN('Special Help Table'!$A408)-LEN(SUBSTITUTE('Special Help Table'!$A408,"(",""))=0,LEN('Special Help Table'!$A408)-LEN(SUBSTITUTE('Special Help Table'!$A408,"and",""))=3,LEN('Special Help Table'!$A408)-LEN(SUBSTITUTE('Special Help Table'!$A408,",",""))=1,LEN('Special Help Table'!$A408)-LEN(SUBSTITUTE('Special Help Table'!$A408," ",""))=3),'Special Help Table'!$A408)</f>
        <v xml:space="preserve"> John MacArthur</v>
      </c>
      <c r="C408" s="4" t="s">
        <v>807</v>
      </c>
      <c r="D408" s="2"/>
      <c r="E408" s="2" t="s">
        <v>16</v>
      </c>
      <c r="F408" s="2" t="s">
        <v>17</v>
      </c>
      <c r="G408" s="2"/>
      <c r="H408" s="2"/>
      <c r="I408" s="2"/>
      <c r="J408" s="2" t="s">
        <v>372</v>
      </c>
      <c r="K408" s="3">
        <v>43040</v>
      </c>
      <c r="L408" s="2"/>
      <c r="M408" s="2"/>
      <c r="N408" s="2" t="s">
        <v>18</v>
      </c>
    </row>
    <row r="409" spans="1:14" ht="15.75" customHeight="1" x14ac:dyDescent="0.35">
      <c r="A409" s="2" t="s">
        <v>802</v>
      </c>
      <c r="B409" s="2" t="str" cm="1">
        <f t="array" ref="B409">_xlfn.IFS(AND(LEN('Special Help Table'!$A409)-(LEN(SUBSTITUTE('Special Help Table'!$A409,";","")))=0,LEN('Special Help Table'!$A409)-LEN(SUBSTITUTE('Special Help Table'!$A409,",",""))=1,LEN('Special Help Table'!$A409)-LEN(SUBSTITUTE('Special Help Table'!$A409,"and ",""))=0),MID('Special Help Table'!$A409&amp;" "&amp;'Special Help Table'!$A409,SEARCH(", ",'Special Help Table'!$A409)+1,LEN('Special Help Table'!$A409)),AND(LEN('Special Help Table'!$A409)-(LEN(SUBSTITUTE('Special Help Table'!$A409,";","")))=1,LEN('Special Help Table'!$A409)-LEN(SUBSTITUTE('Special Help Table'!$A409,"and ",""))=0),MID('Special Help Table'!$A409,SEARCH(",",'Special Help Table'!$A409)+1,(SEARCH(";",'Special Help Table'!$A409)-1)-SEARCH(",",'Special Help Table'!$A409))&amp;" "&amp;LEFT('Special Help Table'!$A409,SEARCH(",",'Special Help Table'!$A409)-1)&amp;";"&amp;RIGHT('Special Help Table'!$A409,LEN('Special Help Table'!$A409)-SEARCH(",",'Special Help Table'!$A409,SEARCH(";",'Special Help Table'!$A409)))&amp;" "&amp;MID('Special Help Table'!$A409,SEARCH("; ",'Special Help Table'!$A409)+2,SEARCH(",",'Special Help Table'!$A409,SEARCH(";",'Special Help Table'!$A409))-SEARCH(";",'Special Help Table'!$A409)-2),AND(LEN('Special Help Table'!$A409)-LEN(SUBSTITUTE('Special Help Table'!$A409,"and ",""))=0,LEN('Special Help Table'!$A409)-LEN(SUBSTITUTE('Special Help Table'!$A409,";",""))=0),'Special Help Table'!$A409,AND(LEN('Special Help Table'!$A409)-LEN(SUBSTITUTE('Special Help Table'!$A409,",","")=1),LEN('Special Help Table'!$A409)-LEN(SUBSTITUTE('Special Help Table'!$A409," ","")=20),LEN('Special Help Table'!$A409)-LEN(SUBSTITUTE('Special Help Table'!$A409," and",""))=0,LEN('Special Help Table'!$A409)-LEN(SUBSTITUTE('Special Help Table'!$A409,",","",FIND(" ",'Special Help Table'!$A409)+1))=0),RIGHT('Special Help Table'!$A409,LEN('Special Help Table'!$A409)-FIND(", ",'Special Help Table'!$A409))&amp;" "&amp;LEFT('Special Help Table'!$A409,FIND(",",'Special Help Table'!$A409)-1),AND(LEN('Special Help Table'!$A409)-LEN(SUBSTITUTE('Special Help Table'!$A409,"editor",""))=6,LEN('Special Help Table'!$A409)-LEN(SUBSTITUTE('Special Help Table'!$A409,"(",""))=0,LEN('Special Help Table'!$A409)-LEN(SUBSTITUTE('Special Help Table'!$A409,"and",""))=3,LEN('Special Help Table'!$A409)-LEN(SUBSTITUTE('Special Help Table'!$A409,",",""))=1,LEN('Special Help Table'!$A409)-LEN(SUBSTITUTE('Special Help Table'!$A409," ",""))=3),'Special Help Table'!$A409)</f>
        <v xml:space="preserve"> John MacArthur</v>
      </c>
      <c r="C409" s="4" t="s">
        <v>808</v>
      </c>
      <c r="D409" s="2"/>
      <c r="E409" s="2" t="s">
        <v>16</v>
      </c>
      <c r="F409" s="2" t="s">
        <v>126</v>
      </c>
      <c r="G409" s="2"/>
      <c r="H409" s="2"/>
      <c r="I409" s="2"/>
      <c r="J409" s="2"/>
      <c r="K409" s="3">
        <v>40038</v>
      </c>
      <c r="L409" s="2"/>
      <c r="M409" s="2"/>
      <c r="N409" s="2" t="s">
        <v>18</v>
      </c>
    </row>
    <row r="410" spans="1:14" ht="15.75" customHeight="1" x14ac:dyDescent="0.35">
      <c r="A410" s="2" t="s">
        <v>802</v>
      </c>
      <c r="B410" s="2" t="str" cm="1">
        <f t="array" ref="B410">_xlfn.IFS(AND(LEN('Special Help Table'!$A410)-(LEN(SUBSTITUTE('Special Help Table'!$A410,";","")))=0,LEN('Special Help Table'!$A410)-LEN(SUBSTITUTE('Special Help Table'!$A410,",",""))=1,LEN('Special Help Table'!$A410)-LEN(SUBSTITUTE('Special Help Table'!$A410,"and ",""))=0),MID('Special Help Table'!$A410&amp;" "&amp;'Special Help Table'!$A410,SEARCH(", ",'Special Help Table'!$A410)+1,LEN('Special Help Table'!$A410)),AND(LEN('Special Help Table'!$A410)-(LEN(SUBSTITUTE('Special Help Table'!$A410,";","")))=1,LEN('Special Help Table'!$A410)-LEN(SUBSTITUTE('Special Help Table'!$A410,"and ",""))=0),MID('Special Help Table'!$A410,SEARCH(",",'Special Help Table'!$A410)+1,(SEARCH(";",'Special Help Table'!$A410)-1)-SEARCH(",",'Special Help Table'!$A410))&amp;" "&amp;LEFT('Special Help Table'!$A410,SEARCH(",",'Special Help Table'!$A410)-1)&amp;";"&amp;RIGHT('Special Help Table'!$A410,LEN('Special Help Table'!$A410)-SEARCH(",",'Special Help Table'!$A410,SEARCH(";",'Special Help Table'!$A410)))&amp;" "&amp;MID('Special Help Table'!$A410,SEARCH("; ",'Special Help Table'!$A410)+2,SEARCH(",",'Special Help Table'!$A410,SEARCH(";",'Special Help Table'!$A410))-SEARCH(";",'Special Help Table'!$A410)-2),AND(LEN('Special Help Table'!$A410)-LEN(SUBSTITUTE('Special Help Table'!$A410,"and ",""))=0,LEN('Special Help Table'!$A410)-LEN(SUBSTITUTE('Special Help Table'!$A410,";",""))=0),'Special Help Table'!$A410,AND(LEN('Special Help Table'!$A410)-LEN(SUBSTITUTE('Special Help Table'!$A410,",","")=1),LEN('Special Help Table'!$A410)-LEN(SUBSTITUTE('Special Help Table'!$A410," ","")=20),LEN('Special Help Table'!$A410)-LEN(SUBSTITUTE('Special Help Table'!$A410," and",""))=0,LEN('Special Help Table'!$A410)-LEN(SUBSTITUTE('Special Help Table'!$A410,",","",FIND(" ",'Special Help Table'!$A410)+1))=0),RIGHT('Special Help Table'!$A410,LEN('Special Help Table'!$A410)-FIND(", ",'Special Help Table'!$A410))&amp;" "&amp;LEFT('Special Help Table'!$A410,FIND(",",'Special Help Table'!$A410)-1),AND(LEN('Special Help Table'!$A410)-LEN(SUBSTITUTE('Special Help Table'!$A410,"editor",""))=6,LEN('Special Help Table'!$A410)-LEN(SUBSTITUTE('Special Help Table'!$A410,"(",""))=0,LEN('Special Help Table'!$A410)-LEN(SUBSTITUTE('Special Help Table'!$A410,"and",""))=3,LEN('Special Help Table'!$A410)-LEN(SUBSTITUTE('Special Help Table'!$A410,",",""))=1,LEN('Special Help Table'!$A410)-LEN(SUBSTITUTE('Special Help Table'!$A410," ",""))=3),'Special Help Table'!$A410)</f>
        <v xml:space="preserve"> John MacArthur</v>
      </c>
      <c r="C410" s="4" t="s">
        <v>809</v>
      </c>
      <c r="D410" s="2"/>
      <c r="E410" s="2" t="s">
        <v>16</v>
      </c>
      <c r="F410" s="2" t="s">
        <v>17</v>
      </c>
      <c r="G410" s="2"/>
      <c r="H410" s="2"/>
      <c r="I410" s="2"/>
      <c r="J410" s="2" t="s">
        <v>801</v>
      </c>
      <c r="K410" s="3">
        <v>41102</v>
      </c>
      <c r="L410" s="2"/>
      <c r="M410" s="2"/>
      <c r="N410" s="2" t="s">
        <v>18</v>
      </c>
    </row>
    <row r="411" spans="1:14" ht="15.75" customHeight="1" x14ac:dyDescent="0.35">
      <c r="A411" s="2" t="s">
        <v>802</v>
      </c>
      <c r="B411" s="2" t="str" cm="1">
        <f t="array" ref="B411">_xlfn.IFS(AND(LEN('Special Help Table'!$A411)-(LEN(SUBSTITUTE('Special Help Table'!$A411,";","")))=0,LEN('Special Help Table'!$A411)-LEN(SUBSTITUTE('Special Help Table'!$A411,",",""))=1,LEN('Special Help Table'!$A411)-LEN(SUBSTITUTE('Special Help Table'!$A411,"and ",""))=0),MID('Special Help Table'!$A411&amp;" "&amp;'Special Help Table'!$A411,SEARCH(", ",'Special Help Table'!$A411)+1,LEN('Special Help Table'!$A411)),AND(LEN('Special Help Table'!$A411)-(LEN(SUBSTITUTE('Special Help Table'!$A411,";","")))=1,LEN('Special Help Table'!$A411)-LEN(SUBSTITUTE('Special Help Table'!$A411,"and ",""))=0),MID('Special Help Table'!$A411,SEARCH(",",'Special Help Table'!$A411)+1,(SEARCH(";",'Special Help Table'!$A411)-1)-SEARCH(",",'Special Help Table'!$A411))&amp;" "&amp;LEFT('Special Help Table'!$A411,SEARCH(",",'Special Help Table'!$A411)-1)&amp;";"&amp;RIGHT('Special Help Table'!$A411,LEN('Special Help Table'!$A411)-SEARCH(",",'Special Help Table'!$A411,SEARCH(";",'Special Help Table'!$A411)))&amp;" "&amp;MID('Special Help Table'!$A411,SEARCH("; ",'Special Help Table'!$A411)+2,SEARCH(",",'Special Help Table'!$A411,SEARCH(";",'Special Help Table'!$A411))-SEARCH(";",'Special Help Table'!$A411)-2),AND(LEN('Special Help Table'!$A411)-LEN(SUBSTITUTE('Special Help Table'!$A411,"and ",""))=0,LEN('Special Help Table'!$A411)-LEN(SUBSTITUTE('Special Help Table'!$A411,";",""))=0),'Special Help Table'!$A411,AND(LEN('Special Help Table'!$A411)-LEN(SUBSTITUTE('Special Help Table'!$A411,",","")=1),LEN('Special Help Table'!$A411)-LEN(SUBSTITUTE('Special Help Table'!$A411," ","")=20),LEN('Special Help Table'!$A411)-LEN(SUBSTITUTE('Special Help Table'!$A411," and",""))=0,LEN('Special Help Table'!$A411)-LEN(SUBSTITUTE('Special Help Table'!$A411,",","",FIND(" ",'Special Help Table'!$A411)+1))=0),RIGHT('Special Help Table'!$A411,LEN('Special Help Table'!$A411)-FIND(", ",'Special Help Table'!$A411))&amp;" "&amp;LEFT('Special Help Table'!$A411,FIND(",",'Special Help Table'!$A411)-1),AND(LEN('Special Help Table'!$A411)-LEN(SUBSTITUTE('Special Help Table'!$A411,"editor",""))=6,LEN('Special Help Table'!$A411)-LEN(SUBSTITUTE('Special Help Table'!$A411,"(",""))=0,LEN('Special Help Table'!$A411)-LEN(SUBSTITUTE('Special Help Table'!$A411,"and",""))=3,LEN('Special Help Table'!$A411)-LEN(SUBSTITUTE('Special Help Table'!$A411,",",""))=1,LEN('Special Help Table'!$A411)-LEN(SUBSTITUTE('Special Help Table'!$A411," ",""))=3),'Special Help Table'!$A411)</f>
        <v xml:space="preserve"> John MacArthur</v>
      </c>
      <c r="C411" s="4" t="s">
        <v>810</v>
      </c>
      <c r="D411" s="2"/>
      <c r="E411" s="2" t="s">
        <v>805</v>
      </c>
      <c r="F411" s="2" t="s">
        <v>17</v>
      </c>
      <c r="G411" s="2"/>
      <c r="H411" s="2"/>
      <c r="I411" s="2"/>
      <c r="J411" s="2" t="s">
        <v>811</v>
      </c>
      <c r="K411" s="3">
        <v>40039</v>
      </c>
      <c r="L411" s="2" t="s">
        <v>331</v>
      </c>
      <c r="M411" s="2"/>
      <c r="N411" s="2" t="s">
        <v>18</v>
      </c>
    </row>
    <row r="412" spans="1:14" ht="15.75" customHeight="1" x14ac:dyDescent="0.35">
      <c r="A412" s="2" t="s">
        <v>802</v>
      </c>
      <c r="B412" s="2" t="str" cm="1">
        <f t="array" ref="B412">_xlfn.IFS(AND(LEN('Special Help Table'!$A412)-(LEN(SUBSTITUTE('Special Help Table'!$A412,";","")))=0,LEN('Special Help Table'!$A412)-LEN(SUBSTITUTE('Special Help Table'!$A412,",",""))=1,LEN('Special Help Table'!$A412)-LEN(SUBSTITUTE('Special Help Table'!$A412,"and ",""))=0),MID('Special Help Table'!$A412&amp;" "&amp;'Special Help Table'!$A412,SEARCH(", ",'Special Help Table'!$A412)+1,LEN('Special Help Table'!$A412)),AND(LEN('Special Help Table'!$A412)-(LEN(SUBSTITUTE('Special Help Table'!$A412,";","")))=1,LEN('Special Help Table'!$A412)-LEN(SUBSTITUTE('Special Help Table'!$A412,"and ",""))=0),MID('Special Help Table'!$A412,SEARCH(",",'Special Help Table'!$A412)+1,(SEARCH(";",'Special Help Table'!$A412)-1)-SEARCH(",",'Special Help Table'!$A412))&amp;" "&amp;LEFT('Special Help Table'!$A412,SEARCH(",",'Special Help Table'!$A412)-1)&amp;";"&amp;RIGHT('Special Help Table'!$A412,LEN('Special Help Table'!$A412)-SEARCH(",",'Special Help Table'!$A412,SEARCH(";",'Special Help Table'!$A412)))&amp;" "&amp;MID('Special Help Table'!$A412,SEARCH("; ",'Special Help Table'!$A412)+2,SEARCH(",",'Special Help Table'!$A412,SEARCH(";",'Special Help Table'!$A412))-SEARCH(";",'Special Help Table'!$A412)-2),AND(LEN('Special Help Table'!$A412)-LEN(SUBSTITUTE('Special Help Table'!$A412,"and ",""))=0,LEN('Special Help Table'!$A412)-LEN(SUBSTITUTE('Special Help Table'!$A412,";",""))=0),'Special Help Table'!$A412,AND(LEN('Special Help Table'!$A412)-LEN(SUBSTITUTE('Special Help Table'!$A412,",","")=1),LEN('Special Help Table'!$A412)-LEN(SUBSTITUTE('Special Help Table'!$A412," ","")=20),LEN('Special Help Table'!$A412)-LEN(SUBSTITUTE('Special Help Table'!$A412," and",""))=0,LEN('Special Help Table'!$A412)-LEN(SUBSTITUTE('Special Help Table'!$A412,",","",FIND(" ",'Special Help Table'!$A412)+1))=0),RIGHT('Special Help Table'!$A412,LEN('Special Help Table'!$A412)-FIND(", ",'Special Help Table'!$A412))&amp;" "&amp;LEFT('Special Help Table'!$A412,FIND(",",'Special Help Table'!$A412)-1),AND(LEN('Special Help Table'!$A412)-LEN(SUBSTITUTE('Special Help Table'!$A412,"editor",""))=6,LEN('Special Help Table'!$A412)-LEN(SUBSTITUTE('Special Help Table'!$A412,"(",""))=0,LEN('Special Help Table'!$A412)-LEN(SUBSTITUTE('Special Help Table'!$A412,"and",""))=3,LEN('Special Help Table'!$A412)-LEN(SUBSTITUTE('Special Help Table'!$A412,",",""))=1,LEN('Special Help Table'!$A412)-LEN(SUBSTITUTE('Special Help Table'!$A412," ",""))=3),'Special Help Table'!$A412)</f>
        <v xml:space="preserve"> John MacArthur</v>
      </c>
      <c r="C412" s="4" t="s">
        <v>812</v>
      </c>
      <c r="D412" s="2"/>
      <c r="E412" s="2" t="s">
        <v>16</v>
      </c>
      <c r="F412" s="2" t="s">
        <v>126</v>
      </c>
      <c r="G412" s="2"/>
      <c r="H412" s="2"/>
      <c r="I412" s="2"/>
      <c r="J412" s="2"/>
      <c r="K412" s="3">
        <v>40040</v>
      </c>
      <c r="L412" s="2"/>
      <c r="M412" s="2"/>
      <c r="N412" s="2" t="s">
        <v>18</v>
      </c>
    </row>
    <row r="413" spans="1:14" ht="15.75" customHeight="1" x14ac:dyDescent="0.35">
      <c r="A413" s="2" t="s">
        <v>802</v>
      </c>
      <c r="B413" s="2" t="str" cm="1">
        <f t="array" ref="B413">_xlfn.IFS(AND(LEN('Special Help Table'!$A413)-(LEN(SUBSTITUTE('Special Help Table'!$A413,";","")))=0,LEN('Special Help Table'!$A413)-LEN(SUBSTITUTE('Special Help Table'!$A413,",",""))=1,LEN('Special Help Table'!$A413)-LEN(SUBSTITUTE('Special Help Table'!$A413,"and ",""))=0),MID('Special Help Table'!$A413&amp;" "&amp;'Special Help Table'!$A413,SEARCH(", ",'Special Help Table'!$A413)+1,LEN('Special Help Table'!$A413)),AND(LEN('Special Help Table'!$A413)-(LEN(SUBSTITUTE('Special Help Table'!$A413,";","")))=1,LEN('Special Help Table'!$A413)-LEN(SUBSTITUTE('Special Help Table'!$A413,"and ",""))=0),MID('Special Help Table'!$A413,SEARCH(",",'Special Help Table'!$A413)+1,(SEARCH(";",'Special Help Table'!$A413)-1)-SEARCH(",",'Special Help Table'!$A413))&amp;" "&amp;LEFT('Special Help Table'!$A413,SEARCH(",",'Special Help Table'!$A413)-1)&amp;";"&amp;RIGHT('Special Help Table'!$A413,LEN('Special Help Table'!$A413)-SEARCH(",",'Special Help Table'!$A413,SEARCH(";",'Special Help Table'!$A413)))&amp;" "&amp;MID('Special Help Table'!$A413,SEARCH("; ",'Special Help Table'!$A413)+2,SEARCH(",",'Special Help Table'!$A413,SEARCH(";",'Special Help Table'!$A413))-SEARCH(";",'Special Help Table'!$A413)-2),AND(LEN('Special Help Table'!$A413)-LEN(SUBSTITUTE('Special Help Table'!$A413,"and ",""))=0,LEN('Special Help Table'!$A413)-LEN(SUBSTITUTE('Special Help Table'!$A413,";",""))=0),'Special Help Table'!$A413,AND(LEN('Special Help Table'!$A413)-LEN(SUBSTITUTE('Special Help Table'!$A413,",","")=1),LEN('Special Help Table'!$A413)-LEN(SUBSTITUTE('Special Help Table'!$A413," ","")=20),LEN('Special Help Table'!$A413)-LEN(SUBSTITUTE('Special Help Table'!$A413," and",""))=0,LEN('Special Help Table'!$A413)-LEN(SUBSTITUTE('Special Help Table'!$A413,",","",FIND(" ",'Special Help Table'!$A413)+1))=0),RIGHT('Special Help Table'!$A413,LEN('Special Help Table'!$A413)-FIND(", ",'Special Help Table'!$A413))&amp;" "&amp;LEFT('Special Help Table'!$A413,FIND(",",'Special Help Table'!$A413)-1),AND(LEN('Special Help Table'!$A413)-LEN(SUBSTITUTE('Special Help Table'!$A413,"editor",""))=6,LEN('Special Help Table'!$A413)-LEN(SUBSTITUTE('Special Help Table'!$A413,"(",""))=0,LEN('Special Help Table'!$A413)-LEN(SUBSTITUTE('Special Help Table'!$A413,"and",""))=3,LEN('Special Help Table'!$A413)-LEN(SUBSTITUTE('Special Help Table'!$A413,",",""))=1,LEN('Special Help Table'!$A413)-LEN(SUBSTITUTE('Special Help Table'!$A413," ",""))=3),'Special Help Table'!$A413)</f>
        <v xml:space="preserve"> John MacArthur</v>
      </c>
      <c r="C413" s="4" t="s">
        <v>813</v>
      </c>
      <c r="D413" s="2"/>
      <c r="E413" s="2" t="s">
        <v>16</v>
      </c>
      <c r="F413" s="2" t="s">
        <v>36</v>
      </c>
      <c r="G413" s="2"/>
      <c r="H413" s="2"/>
      <c r="I413" s="2"/>
      <c r="J413" s="2" t="s">
        <v>164</v>
      </c>
      <c r="K413" s="3">
        <v>40041</v>
      </c>
      <c r="L413" s="2"/>
      <c r="M413" s="2"/>
      <c r="N413" s="2" t="s">
        <v>18</v>
      </c>
    </row>
    <row r="414" spans="1:14" ht="15.75" customHeight="1" x14ac:dyDescent="0.35">
      <c r="A414" s="2" t="s">
        <v>802</v>
      </c>
      <c r="B414" s="2" t="str" cm="1">
        <f t="array" ref="B414">_xlfn.IFS(AND(LEN('Special Help Table'!$A414)-(LEN(SUBSTITUTE('Special Help Table'!$A414,";","")))=0,LEN('Special Help Table'!$A414)-LEN(SUBSTITUTE('Special Help Table'!$A414,",",""))=1,LEN('Special Help Table'!$A414)-LEN(SUBSTITUTE('Special Help Table'!$A414,"and ",""))=0),MID('Special Help Table'!$A414&amp;" "&amp;'Special Help Table'!$A414,SEARCH(", ",'Special Help Table'!$A414)+1,LEN('Special Help Table'!$A414)),AND(LEN('Special Help Table'!$A414)-(LEN(SUBSTITUTE('Special Help Table'!$A414,";","")))=1,LEN('Special Help Table'!$A414)-LEN(SUBSTITUTE('Special Help Table'!$A414,"and ",""))=0),MID('Special Help Table'!$A414,SEARCH(",",'Special Help Table'!$A414)+1,(SEARCH(";",'Special Help Table'!$A414)-1)-SEARCH(",",'Special Help Table'!$A414))&amp;" "&amp;LEFT('Special Help Table'!$A414,SEARCH(",",'Special Help Table'!$A414)-1)&amp;";"&amp;RIGHT('Special Help Table'!$A414,LEN('Special Help Table'!$A414)-SEARCH(",",'Special Help Table'!$A414,SEARCH(";",'Special Help Table'!$A414)))&amp;" "&amp;MID('Special Help Table'!$A414,SEARCH("; ",'Special Help Table'!$A414)+2,SEARCH(",",'Special Help Table'!$A414,SEARCH(";",'Special Help Table'!$A414))-SEARCH(";",'Special Help Table'!$A414)-2),AND(LEN('Special Help Table'!$A414)-LEN(SUBSTITUTE('Special Help Table'!$A414,"and ",""))=0,LEN('Special Help Table'!$A414)-LEN(SUBSTITUTE('Special Help Table'!$A414,";",""))=0),'Special Help Table'!$A414,AND(LEN('Special Help Table'!$A414)-LEN(SUBSTITUTE('Special Help Table'!$A414,",","")=1),LEN('Special Help Table'!$A414)-LEN(SUBSTITUTE('Special Help Table'!$A414," ","")=20),LEN('Special Help Table'!$A414)-LEN(SUBSTITUTE('Special Help Table'!$A414," and",""))=0,LEN('Special Help Table'!$A414)-LEN(SUBSTITUTE('Special Help Table'!$A414,",","",FIND(" ",'Special Help Table'!$A414)+1))=0),RIGHT('Special Help Table'!$A414,LEN('Special Help Table'!$A414)-FIND(", ",'Special Help Table'!$A414))&amp;" "&amp;LEFT('Special Help Table'!$A414,FIND(",",'Special Help Table'!$A414)-1),AND(LEN('Special Help Table'!$A414)-LEN(SUBSTITUTE('Special Help Table'!$A414,"editor",""))=6,LEN('Special Help Table'!$A414)-LEN(SUBSTITUTE('Special Help Table'!$A414,"(",""))=0,LEN('Special Help Table'!$A414)-LEN(SUBSTITUTE('Special Help Table'!$A414,"and",""))=3,LEN('Special Help Table'!$A414)-LEN(SUBSTITUTE('Special Help Table'!$A414,",",""))=1,LEN('Special Help Table'!$A414)-LEN(SUBSTITUTE('Special Help Table'!$A414," ",""))=3),'Special Help Table'!$A414)</f>
        <v xml:space="preserve"> John MacArthur</v>
      </c>
      <c r="C414" s="4" t="s">
        <v>814</v>
      </c>
      <c r="D414" s="2"/>
      <c r="E414" s="2" t="s">
        <v>16</v>
      </c>
      <c r="F414" s="2" t="s">
        <v>36</v>
      </c>
      <c r="G414" s="2"/>
      <c r="H414" s="2"/>
      <c r="I414" s="2"/>
      <c r="J414" s="2"/>
      <c r="K414" s="3">
        <v>40095</v>
      </c>
      <c r="L414" s="2"/>
      <c r="M414" s="2"/>
      <c r="N414" s="2" t="s">
        <v>18</v>
      </c>
    </row>
    <row r="415" spans="1:14" ht="15.75" customHeight="1" x14ac:dyDescent="0.35">
      <c r="A415" s="2" t="s">
        <v>802</v>
      </c>
      <c r="B415" s="2" t="str" cm="1">
        <f t="array" ref="B415">_xlfn.IFS(AND(LEN('Special Help Table'!$A415)-(LEN(SUBSTITUTE('Special Help Table'!$A415,";","")))=0,LEN('Special Help Table'!$A415)-LEN(SUBSTITUTE('Special Help Table'!$A415,",",""))=1,LEN('Special Help Table'!$A415)-LEN(SUBSTITUTE('Special Help Table'!$A415,"and ",""))=0),MID('Special Help Table'!$A415&amp;" "&amp;'Special Help Table'!$A415,SEARCH(", ",'Special Help Table'!$A415)+1,LEN('Special Help Table'!$A415)),AND(LEN('Special Help Table'!$A415)-(LEN(SUBSTITUTE('Special Help Table'!$A415,";","")))=1,LEN('Special Help Table'!$A415)-LEN(SUBSTITUTE('Special Help Table'!$A415,"and ",""))=0),MID('Special Help Table'!$A415,SEARCH(",",'Special Help Table'!$A415)+1,(SEARCH(";",'Special Help Table'!$A415)-1)-SEARCH(",",'Special Help Table'!$A415))&amp;" "&amp;LEFT('Special Help Table'!$A415,SEARCH(",",'Special Help Table'!$A415)-1)&amp;";"&amp;RIGHT('Special Help Table'!$A415,LEN('Special Help Table'!$A415)-SEARCH(",",'Special Help Table'!$A415,SEARCH(";",'Special Help Table'!$A415)))&amp;" "&amp;MID('Special Help Table'!$A415,SEARCH("; ",'Special Help Table'!$A415)+2,SEARCH(",",'Special Help Table'!$A415,SEARCH(";",'Special Help Table'!$A415))-SEARCH(";",'Special Help Table'!$A415)-2),AND(LEN('Special Help Table'!$A415)-LEN(SUBSTITUTE('Special Help Table'!$A415,"and ",""))=0,LEN('Special Help Table'!$A415)-LEN(SUBSTITUTE('Special Help Table'!$A415,";",""))=0),'Special Help Table'!$A415,AND(LEN('Special Help Table'!$A415)-LEN(SUBSTITUTE('Special Help Table'!$A415,",","")=1),LEN('Special Help Table'!$A415)-LEN(SUBSTITUTE('Special Help Table'!$A415," ","")=20),LEN('Special Help Table'!$A415)-LEN(SUBSTITUTE('Special Help Table'!$A415," and",""))=0,LEN('Special Help Table'!$A415)-LEN(SUBSTITUTE('Special Help Table'!$A415,",","",FIND(" ",'Special Help Table'!$A415)+1))=0),RIGHT('Special Help Table'!$A415,LEN('Special Help Table'!$A415)-FIND(", ",'Special Help Table'!$A415))&amp;" "&amp;LEFT('Special Help Table'!$A415,FIND(",",'Special Help Table'!$A415)-1),AND(LEN('Special Help Table'!$A415)-LEN(SUBSTITUTE('Special Help Table'!$A415,"editor",""))=6,LEN('Special Help Table'!$A415)-LEN(SUBSTITUTE('Special Help Table'!$A415,"(",""))=0,LEN('Special Help Table'!$A415)-LEN(SUBSTITUTE('Special Help Table'!$A415,"and",""))=3,LEN('Special Help Table'!$A415)-LEN(SUBSTITUTE('Special Help Table'!$A415,",",""))=1,LEN('Special Help Table'!$A415)-LEN(SUBSTITUTE('Special Help Table'!$A415," ",""))=3),'Special Help Table'!$A415)</f>
        <v xml:space="preserve"> John MacArthur</v>
      </c>
      <c r="C415" s="4" t="s">
        <v>815</v>
      </c>
      <c r="D415" s="2"/>
      <c r="E415" s="2" t="s">
        <v>16</v>
      </c>
      <c r="F415" s="2" t="s">
        <v>33</v>
      </c>
      <c r="G415" s="2"/>
      <c r="H415" s="2"/>
      <c r="I415" s="2"/>
      <c r="J415" s="2"/>
      <c r="K415" s="3">
        <v>40042</v>
      </c>
      <c r="L415" s="2"/>
      <c r="M415" s="2"/>
      <c r="N415" s="2" t="s">
        <v>18</v>
      </c>
    </row>
    <row r="416" spans="1:14" ht="15.75" customHeight="1" x14ac:dyDescent="0.35">
      <c r="A416" s="2" t="s">
        <v>802</v>
      </c>
      <c r="B416" s="2" t="str" cm="1">
        <f t="array" ref="B416">_xlfn.IFS(AND(LEN('Special Help Table'!$A416)-(LEN(SUBSTITUTE('Special Help Table'!$A416,";","")))=0,LEN('Special Help Table'!$A416)-LEN(SUBSTITUTE('Special Help Table'!$A416,",",""))=1,LEN('Special Help Table'!$A416)-LEN(SUBSTITUTE('Special Help Table'!$A416,"and ",""))=0),MID('Special Help Table'!$A416&amp;" "&amp;'Special Help Table'!$A416,SEARCH(", ",'Special Help Table'!$A416)+1,LEN('Special Help Table'!$A416)),AND(LEN('Special Help Table'!$A416)-(LEN(SUBSTITUTE('Special Help Table'!$A416,";","")))=1,LEN('Special Help Table'!$A416)-LEN(SUBSTITUTE('Special Help Table'!$A416,"and ",""))=0),MID('Special Help Table'!$A416,SEARCH(",",'Special Help Table'!$A416)+1,(SEARCH(";",'Special Help Table'!$A416)-1)-SEARCH(",",'Special Help Table'!$A416))&amp;" "&amp;LEFT('Special Help Table'!$A416,SEARCH(",",'Special Help Table'!$A416)-1)&amp;";"&amp;RIGHT('Special Help Table'!$A416,LEN('Special Help Table'!$A416)-SEARCH(",",'Special Help Table'!$A416,SEARCH(";",'Special Help Table'!$A416)))&amp;" "&amp;MID('Special Help Table'!$A416,SEARCH("; ",'Special Help Table'!$A416)+2,SEARCH(",",'Special Help Table'!$A416,SEARCH(";",'Special Help Table'!$A416))-SEARCH(";",'Special Help Table'!$A416)-2),AND(LEN('Special Help Table'!$A416)-LEN(SUBSTITUTE('Special Help Table'!$A416,"and ",""))=0,LEN('Special Help Table'!$A416)-LEN(SUBSTITUTE('Special Help Table'!$A416,";",""))=0),'Special Help Table'!$A416,AND(LEN('Special Help Table'!$A416)-LEN(SUBSTITUTE('Special Help Table'!$A416,",","")=1),LEN('Special Help Table'!$A416)-LEN(SUBSTITUTE('Special Help Table'!$A416," ","")=20),LEN('Special Help Table'!$A416)-LEN(SUBSTITUTE('Special Help Table'!$A416," and",""))=0,LEN('Special Help Table'!$A416)-LEN(SUBSTITUTE('Special Help Table'!$A416,",","",FIND(" ",'Special Help Table'!$A416)+1))=0),RIGHT('Special Help Table'!$A416,LEN('Special Help Table'!$A416)-FIND(", ",'Special Help Table'!$A416))&amp;" "&amp;LEFT('Special Help Table'!$A416,FIND(",",'Special Help Table'!$A416)-1),AND(LEN('Special Help Table'!$A416)-LEN(SUBSTITUTE('Special Help Table'!$A416,"editor",""))=6,LEN('Special Help Table'!$A416)-LEN(SUBSTITUTE('Special Help Table'!$A416,"(",""))=0,LEN('Special Help Table'!$A416)-LEN(SUBSTITUTE('Special Help Table'!$A416,"and",""))=3,LEN('Special Help Table'!$A416)-LEN(SUBSTITUTE('Special Help Table'!$A416,",",""))=1,LEN('Special Help Table'!$A416)-LEN(SUBSTITUTE('Special Help Table'!$A416," ",""))=3),'Special Help Table'!$A416)</f>
        <v xml:space="preserve"> John MacArthur</v>
      </c>
      <c r="C416" s="4" t="s">
        <v>816</v>
      </c>
      <c r="D416" s="2"/>
      <c r="E416" s="2" t="s">
        <v>16</v>
      </c>
      <c r="F416" s="2" t="s">
        <v>28</v>
      </c>
      <c r="G416" s="2"/>
      <c r="H416" s="2"/>
      <c r="I416" s="2"/>
      <c r="J416" s="2"/>
      <c r="K416" s="3">
        <v>40043</v>
      </c>
      <c r="L416" s="2"/>
      <c r="M416" s="2"/>
      <c r="N416" s="2" t="s">
        <v>18</v>
      </c>
    </row>
    <row r="417" spans="1:14" ht="15.75" customHeight="1" x14ac:dyDescent="0.35">
      <c r="A417" s="2" t="s">
        <v>802</v>
      </c>
      <c r="B417" s="2" t="str" cm="1">
        <f t="array" ref="B417">_xlfn.IFS(AND(LEN('Special Help Table'!$A417)-(LEN(SUBSTITUTE('Special Help Table'!$A417,";","")))=0,LEN('Special Help Table'!$A417)-LEN(SUBSTITUTE('Special Help Table'!$A417,",",""))=1,LEN('Special Help Table'!$A417)-LEN(SUBSTITUTE('Special Help Table'!$A417,"and ",""))=0),MID('Special Help Table'!$A417&amp;" "&amp;'Special Help Table'!$A417,SEARCH(", ",'Special Help Table'!$A417)+1,LEN('Special Help Table'!$A417)),AND(LEN('Special Help Table'!$A417)-(LEN(SUBSTITUTE('Special Help Table'!$A417,";","")))=1,LEN('Special Help Table'!$A417)-LEN(SUBSTITUTE('Special Help Table'!$A417,"and ",""))=0),MID('Special Help Table'!$A417,SEARCH(",",'Special Help Table'!$A417)+1,(SEARCH(";",'Special Help Table'!$A417)-1)-SEARCH(",",'Special Help Table'!$A417))&amp;" "&amp;LEFT('Special Help Table'!$A417,SEARCH(",",'Special Help Table'!$A417)-1)&amp;";"&amp;RIGHT('Special Help Table'!$A417,LEN('Special Help Table'!$A417)-SEARCH(",",'Special Help Table'!$A417,SEARCH(";",'Special Help Table'!$A417)))&amp;" "&amp;MID('Special Help Table'!$A417,SEARCH("; ",'Special Help Table'!$A417)+2,SEARCH(",",'Special Help Table'!$A417,SEARCH(";",'Special Help Table'!$A417))-SEARCH(";",'Special Help Table'!$A417)-2),AND(LEN('Special Help Table'!$A417)-LEN(SUBSTITUTE('Special Help Table'!$A417,"and ",""))=0,LEN('Special Help Table'!$A417)-LEN(SUBSTITUTE('Special Help Table'!$A417,";",""))=0),'Special Help Table'!$A417,AND(LEN('Special Help Table'!$A417)-LEN(SUBSTITUTE('Special Help Table'!$A417,",","")=1),LEN('Special Help Table'!$A417)-LEN(SUBSTITUTE('Special Help Table'!$A417," ","")=20),LEN('Special Help Table'!$A417)-LEN(SUBSTITUTE('Special Help Table'!$A417," and",""))=0,LEN('Special Help Table'!$A417)-LEN(SUBSTITUTE('Special Help Table'!$A417,",","",FIND(" ",'Special Help Table'!$A417)+1))=0),RIGHT('Special Help Table'!$A417,LEN('Special Help Table'!$A417)-FIND(", ",'Special Help Table'!$A417))&amp;" "&amp;LEFT('Special Help Table'!$A417,FIND(",",'Special Help Table'!$A417)-1),AND(LEN('Special Help Table'!$A417)-LEN(SUBSTITUTE('Special Help Table'!$A417,"editor",""))=6,LEN('Special Help Table'!$A417)-LEN(SUBSTITUTE('Special Help Table'!$A417,"(",""))=0,LEN('Special Help Table'!$A417)-LEN(SUBSTITUTE('Special Help Table'!$A417,"and",""))=3,LEN('Special Help Table'!$A417)-LEN(SUBSTITUTE('Special Help Table'!$A417,",",""))=1,LEN('Special Help Table'!$A417)-LEN(SUBSTITUTE('Special Help Table'!$A417," ",""))=3),'Special Help Table'!$A417)</f>
        <v xml:space="preserve"> John MacArthur</v>
      </c>
      <c r="C417" s="4" t="s">
        <v>817</v>
      </c>
      <c r="D417" s="2"/>
      <c r="E417" s="2" t="s">
        <v>16</v>
      </c>
      <c r="F417" s="2" t="s">
        <v>28</v>
      </c>
      <c r="G417" s="2"/>
      <c r="H417" s="2"/>
      <c r="I417" s="2"/>
      <c r="J417" s="2"/>
      <c r="K417" s="3">
        <v>40044</v>
      </c>
      <c r="L417" s="2"/>
      <c r="M417" s="2"/>
      <c r="N417" s="2" t="s">
        <v>18</v>
      </c>
    </row>
    <row r="418" spans="1:14" ht="15.75" customHeight="1" x14ac:dyDescent="0.35">
      <c r="A418" s="2" t="s">
        <v>802</v>
      </c>
      <c r="B418" s="2" t="str" cm="1">
        <f t="array" ref="B418">_xlfn.IFS(AND(LEN('Special Help Table'!$A418)-(LEN(SUBSTITUTE('Special Help Table'!$A418,";","")))=0,LEN('Special Help Table'!$A418)-LEN(SUBSTITUTE('Special Help Table'!$A418,",",""))=1,LEN('Special Help Table'!$A418)-LEN(SUBSTITUTE('Special Help Table'!$A418,"and ",""))=0),MID('Special Help Table'!$A418&amp;" "&amp;'Special Help Table'!$A418,SEARCH(", ",'Special Help Table'!$A418)+1,LEN('Special Help Table'!$A418)),AND(LEN('Special Help Table'!$A418)-(LEN(SUBSTITUTE('Special Help Table'!$A418,";","")))=1,LEN('Special Help Table'!$A418)-LEN(SUBSTITUTE('Special Help Table'!$A418,"and ",""))=0),MID('Special Help Table'!$A418,SEARCH(",",'Special Help Table'!$A418)+1,(SEARCH(";",'Special Help Table'!$A418)-1)-SEARCH(",",'Special Help Table'!$A418))&amp;" "&amp;LEFT('Special Help Table'!$A418,SEARCH(",",'Special Help Table'!$A418)-1)&amp;";"&amp;RIGHT('Special Help Table'!$A418,LEN('Special Help Table'!$A418)-SEARCH(",",'Special Help Table'!$A418,SEARCH(";",'Special Help Table'!$A418)))&amp;" "&amp;MID('Special Help Table'!$A418,SEARCH("; ",'Special Help Table'!$A418)+2,SEARCH(",",'Special Help Table'!$A418,SEARCH(";",'Special Help Table'!$A418))-SEARCH(";",'Special Help Table'!$A418)-2),AND(LEN('Special Help Table'!$A418)-LEN(SUBSTITUTE('Special Help Table'!$A418,"and ",""))=0,LEN('Special Help Table'!$A418)-LEN(SUBSTITUTE('Special Help Table'!$A418,";",""))=0),'Special Help Table'!$A418,AND(LEN('Special Help Table'!$A418)-LEN(SUBSTITUTE('Special Help Table'!$A418,",","")=1),LEN('Special Help Table'!$A418)-LEN(SUBSTITUTE('Special Help Table'!$A418," ","")=20),LEN('Special Help Table'!$A418)-LEN(SUBSTITUTE('Special Help Table'!$A418," and",""))=0,LEN('Special Help Table'!$A418)-LEN(SUBSTITUTE('Special Help Table'!$A418,",","",FIND(" ",'Special Help Table'!$A418)+1))=0),RIGHT('Special Help Table'!$A418,LEN('Special Help Table'!$A418)-FIND(", ",'Special Help Table'!$A418))&amp;" "&amp;LEFT('Special Help Table'!$A418,FIND(",",'Special Help Table'!$A418)-1),AND(LEN('Special Help Table'!$A418)-LEN(SUBSTITUTE('Special Help Table'!$A418,"editor",""))=6,LEN('Special Help Table'!$A418)-LEN(SUBSTITUTE('Special Help Table'!$A418,"(",""))=0,LEN('Special Help Table'!$A418)-LEN(SUBSTITUTE('Special Help Table'!$A418,"and",""))=3,LEN('Special Help Table'!$A418)-LEN(SUBSTITUTE('Special Help Table'!$A418,",",""))=1,LEN('Special Help Table'!$A418)-LEN(SUBSTITUTE('Special Help Table'!$A418," ",""))=3),'Special Help Table'!$A418)</f>
        <v xml:space="preserve"> John MacArthur</v>
      </c>
      <c r="C418" s="4" t="s">
        <v>818</v>
      </c>
      <c r="D418" s="2"/>
      <c r="E418" s="2" t="s">
        <v>16</v>
      </c>
      <c r="F418" s="2" t="s">
        <v>36</v>
      </c>
      <c r="G418" s="2"/>
      <c r="H418" s="2"/>
      <c r="I418" s="2"/>
      <c r="J418" s="2"/>
      <c r="K418" s="3">
        <v>39209</v>
      </c>
      <c r="L418" s="2"/>
      <c r="M418" s="2"/>
      <c r="N418" s="2" t="s">
        <v>18</v>
      </c>
    </row>
    <row r="419" spans="1:14" ht="15.75" customHeight="1" x14ac:dyDescent="0.35">
      <c r="A419" s="2" t="s">
        <v>802</v>
      </c>
      <c r="B419" s="2" t="str" cm="1">
        <f t="array" ref="B419">_xlfn.IFS(AND(LEN('Special Help Table'!$A419)-(LEN(SUBSTITUTE('Special Help Table'!$A419,";","")))=0,LEN('Special Help Table'!$A419)-LEN(SUBSTITUTE('Special Help Table'!$A419,",",""))=1,LEN('Special Help Table'!$A419)-LEN(SUBSTITUTE('Special Help Table'!$A419,"and ",""))=0),MID('Special Help Table'!$A419&amp;" "&amp;'Special Help Table'!$A419,SEARCH(", ",'Special Help Table'!$A419)+1,LEN('Special Help Table'!$A419)),AND(LEN('Special Help Table'!$A419)-(LEN(SUBSTITUTE('Special Help Table'!$A419,";","")))=1,LEN('Special Help Table'!$A419)-LEN(SUBSTITUTE('Special Help Table'!$A419,"and ",""))=0),MID('Special Help Table'!$A419,SEARCH(",",'Special Help Table'!$A419)+1,(SEARCH(";",'Special Help Table'!$A419)-1)-SEARCH(",",'Special Help Table'!$A419))&amp;" "&amp;LEFT('Special Help Table'!$A419,SEARCH(",",'Special Help Table'!$A419)-1)&amp;";"&amp;RIGHT('Special Help Table'!$A419,LEN('Special Help Table'!$A419)-SEARCH(",",'Special Help Table'!$A419,SEARCH(";",'Special Help Table'!$A419)))&amp;" "&amp;MID('Special Help Table'!$A419,SEARCH("; ",'Special Help Table'!$A419)+2,SEARCH(",",'Special Help Table'!$A419,SEARCH(";",'Special Help Table'!$A419))-SEARCH(";",'Special Help Table'!$A419)-2),AND(LEN('Special Help Table'!$A419)-LEN(SUBSTITUTE('Special Help Table'!$A419,"and ",""))=0,LEN('Special Help Table'!$A419)-LEN(SUBSTITUTE('Special Help Table'!$A419,";",""))=0),'Special Help Table'!$A419,AND(LEN('Special Help Table'!$A419)-LEN(SUBSTITUTE('Special Help Table'!$A419,",","")=1),LEN('Special Help Table'!$A419)-LEN(SUBSTITUTE('Special Help Table'!$A419," ","")=20),LEN('Special Help Table'!$A419)-LEN(SUBSTITUTE('Special Help Table'!$A419," and",""))=0,LEN('Special Help Table'!$A419)-LEN(SUBSTITUTE('Special Help Table'!$A419,",","",FIND(" ",'Special Help Table'!$A419)+1))=0),RIGHT('Special Help Table'!$A419,LEN('Special Help Table'!$A419)-FIND(", ",'Special Help Table'!$A419))&amp;" "&amp;LEFT('Special Help Table'!$A419,FIND(",",'Special Help Table'!$A419)-1),AND(LEN('Special Help Table'!$A419)-LEN(SUBSTITUTE('Special Help Table'!$A419,"editor",""))=6,LEN('Special Help Table'!$A419)-LEN(SUBSTITUTE('Special Help Table'!$A419,"(",""))=0,LEN('Special Help Table'!$A419)-LEN(SUBSTITUTE('Special Help Table'!$A419,"and",""))=3,LEN('Special Help Table'!$A419)-LEN(SUBSTITUTE('Special Help Table'!$A419,",",""))=1,LEN('Special Help Table'!$A419)-LEN(SUBSTITUTE('Special Help Table'!$A419," ",""))=3),'Special Help Table'!$A419)</f>
        <v xml:space="preserve"> John MacArthur</v>
      </c>
      <c r="C419" s="4" t="s">
        <v>819</v>
      </c>
      <c r="D419" s="2"/>
      <c r="E419" s="2" t="s">
        <v>16</v>
      </c>
      <c r="F419" s="2" t="s">
        <v>36</v>
      </c>
      <c r="G419" s="2"/>
      <c r="H419" s="2"/>
      <c r="I419" s="2"/>
      <c r="J419" s="2"/>
      <c r="K419" s="3">
        <v>40045</v>
      </c>
      <c r="L419" s="2"/>
      <c r="M419" s="2"/>
      <c r="N419" s="2" t="s">
        <v>18</v>
      </c>
    </row>
    <row r="420" spans="1:14" ht="15.75" customHeight="1" x14ac:dyDescent="0.35">
      <c r="A420" s="2" t="s">
        <v>802</v>
      </c>
      <c r="B420" s="2" t="str" cm="1">
        <f t="array" ref="B420">_xlfn.IFS(AND(LEN('Special Help Table'!$A420)-(LEN(SUBSTITUTE('Special Help Table'!$A420,";","")))=0,LEN('Special Help Table'!$A420)-LEN(SUBSTITUTE('Special Help Table'!$A420,",",""))=1,LEN('Special Help Table'!$A420)-LEN(SUBSTITUTE('Special Help Table'!$A420,"and ",""))=0),MID('Special Help Table'!$A420&amp;" "&amp;'Special Help Table'!$A420,SEARCH(", ",'Special Help Table'!$A420)+1,LEN('Special Help Table'!$A420)),AND(LEN('Special Help Table'!$A420)-(LEN(SUBSTITUTE('Special Help Table'!$A420,";","")))=1,LEN('Special Help Table'!$A420)-LEN(SUBSTITUTE('Special Help Table'!$A420,"and ",""))=0),MID('Special Help Table'!$A420,SEARCH(",",'Special Help Table'!$A420)+1,(SEARCH(";",'Special Help Table'!$A420)-1)-SEARCH(",",'Special Help Table'!$A420))&amp;" "&amp;LEFT('Special Help Table'!$A420,SEARCH(",",'Special Help Table'!$A420)-1)&amp;";"&amp;RIGHT('Special Help Table'!$A420,LEN('Special Help Table'!$A420)-SEARCH(",",'Special Help Table'!$A420,SEARCH(";",'Special Help Table'!$A420)))&amp;" "&amp;MID('Special Help Table'!$A420,SEARCH("; ",'Special Help Table'!$A420)+2,SEARCH(",",'Special Help Table'!$A420,SEARCH(";",'Special Help Table'!$A420))-SEARCH(";",'Special Help Table'!$A420)-2),AND(LEN('Special Help Table'!$A420)-LEN(SUBSTITUTE('Special Help Table'!$A420,"and ",""))=0,LEN('Special Help Table'!$A420)-LEN(SUBSTITUTE('Special Help Table'!$A420,";",""))=0),'Special Help Table'!$A420,AND(LEN('Special Help Table'!$A420)-LEN(SUBSTITUTE('Special Help Table'!$A420,",","")=1),LEN('Special Help Table'!$A420)-LEN(SUBSTITUTE('Special Help Table'!$A420," ","")=20),LEN('Special Help Table'!$A420)-LEN(SUBSTITUTE('Special Help Table'!$A420," and",""))=0,LEN('Special Help Table'!$A420)-LEN(SUBSTITUTE('Special Help Table'!$A420,",","",FIND(" ",'Special Help Table'!$A420)+1))=0),RIGHT('Special Help Table'!$A420,LEN('Special Help Table'!$A420)-FIND(", ",'Special Help Table'!$A420))&amp;" "&amp;LEFT('Special Help Table'!$A420,FIND(",",'Special Help Table'!$A420)-1),AND(LEN('Special Help Table'!$A420)-LEN(SUBSTITUTE('Special Help Table'!$A420,"editor",""))=6,LEN('Special Help Table'!$A420)-LEN(SUBSTITUTE('Special Help Table'!$A420,"(",""))=0,LEN('Special Help Table'!$A420)-LEN(SUBSTITUTE('Special Help Table'!$A420,"and",""))=3,LEN('Special Help Table'!$A420)-LEN(SUBSTITUTE('Special Help Table'!$A420,",",""))=1,LEN('Special Help Table'!$A420)-LEN(SUBSTITUTE('Special Help Table'!$A420," ",""))=3),'Special Help Table'!$A420)</f>
        <v xml:space="preserve"> John MacArthur</v>
      </c>
      <c r="C420" s="4" t="s">
        <v>820</v>
      </c>
      <c r="D420" s="2"/>
      <c r="E420" s="2" t="s">
        <v>16</v>
      </c>
      <c r="F420" s="2" t="s">
        <v>33</v>
      </c>
      <c r="G420" s="2"/>
      <c r="H420" s="2"/>
      <c r="I420" s="2"/>
      <c r="J420" s="2" t="s">
        <v>52</v>
      </c>
      <c r="K420" s="3">
        <v>40046</v>
      </c>
      <c r="L420" s="2"/>
      <c r="M420" s="2"/>
      <c r="N420" s="2" t="s">
        <v>18</v>
      </c>
    </row>
    <row r="421" spans="1:14" ht="15.75" customHeight="1" x14ac:dyDescent="0.35">
      <c r="A421" s="2" t="s">
        <v>802</v>
      </c>
      <c r="B421" s="2" t="str" cm="1">
        <f t="array" ref="B421">_xlfn.IFS(AND(LEN('Special Help Table'!$A421)-(LEN(SUBSTITUTE('Special Help Table'!$A421,";","")))=0,LEN('Special Help Table'!$A421)-LEN(SUBSTITUTE('Special Help Table'!$A421,",",""))=1,LEN('Special Help Table'!$A421)-LEN(SUBSTITUTE('Special Help Table'!$A421,"and ",""))=0),MID('Special Help Table'!$A421&amp;" "&amp;'Special Help Table'!$A421,SEARCH(", ",'Special Help Table'!$A421)+1,LEN('Special Help Table'!$A421)),AND(LEN('Special Help Table'!$A421)-(LEN(SUBSTITUTE('Special Help Table'!$A421,";","")))=1,LEN('Special Help Table'!$A421)-LEN(SUBSTITUTE('Special Help Table'!$A421,"and ",""))=0),MID('Special Help Table'!$A421,SEARCH(",",'Special Help Table'!$A421)+1,(SEARCH(";",'Special Help Table'!$A421)-1)-SEARCH(",",'Special Help Table'!$A421))&amp;" "&amp;LEFT('Special Help Table'!$A421,SEARCH(",",'Special Help Table'!$A421)-1)&amp;";"&amp;RIGHT('Special Help Table'!$A421,LEN('Special Help Table'!$A421)-SEARCH(",",'Special Help Table'!$A421,SEARCH(";",'Special Help Table'!$A421)))&amp;" "&amp;MID('Special Help Table'!$A421,SEARCH("; ",'Special Help Table'!$A421)+2,SEARCH(",",'Special Help Table'!$A421,SEARCH(";",'Special Help Table'!$A421))-SEARCH(";",'Special Help Table'!$A421)-2),AND(LEN('Special Help Table'!$A421)-LEN(SUBSTITUTE('Special Help Table'!$A421,"and ",""))=0,LEN('Special Help Table'!$A421)-LEN(SUBSTITUTE('Special Help Table'!$A421,";",""))=0),'Special Help Table'!$A421,AND(LEN('Special Help Table'!$A421)-LEN(SUBSTITUTE('Special Help Table'!$A421,",","")=1),LEN('Special Help Table'!$A421)-LEN(SUBSTITUTE('Special Help Table'!$A421," ","")=20),LEN('Special Help Table'!$A421)-LEN(SUBSTITUTE('Special Help Table'!$A421," and",""))=0,LEN('Special Help Table'!$A421)-LEN(SUBSTITUTE('Special Help Table'!$A421,",","",FIND(" ",'Special Help Table'!$A421)+1))=0),RIGHT('Special Help Table'!$A421,LEN('Special Help Table'!$A421)-FIND(", ",'Special Help Table'!$A421))&amp;" "&amp;LEFT('Special Help Table'!$A421,FIND(",",'Special Help Table'!$A421)-1),AND(LEN('Special Help Table'!$A421)-LEN(SUBSTITUTE('Special Help Table'!$A421,"editor",""))=6,LEN('Special Help Table'!$A421)-LEN(SUBSTITUTE('Special Help Table'!$A421,"(",""))=0,LEN('Special Help Table'!$A421)-LEN(SUBSTITUTE('Special Help Table'!$A421,"and",""))=3,LEN('Special Help Table'!$A421)-LEN(SUBSTITUTE('Special Help Table'!$A421,",",""))=1,LEN('Special Help Table'!$A421)-LEN(SUBSTITUTE('Special Help Table'!$A421," ",""))=3),'Special Help Table'!$A421)</f>
        <v xml:space="preserve"> John MacArthur</v>
      </c>
      <c r="C421" s="4" t="s">
        <v>821</v>
      </c>
      <c r="D421" s="2"/>
      <c r="E421" s="2" t="s">
        <v>16</v>
      </c>
      <c r="F421" s="2" t="s">
        <v>28</v>
      </c>
      <c r="G421" s="2" t="s">
        <v>76</v>
      </c>
      <c r="H421" s="2"/>
      <c r="I421" s="2"/>
      <c r="J421" s="2"/>
      <c r="K421" s="3">
        <v>42511</v>
      </c>
      <c r="L421" s="2"/>
      <c r="M421" s="2"/>
      <c r="N421" s="2" t="s">
        <v>18</v>
      </c>
    </row>
    <row r="422" spans="1:14" ht="15.75" customHeight="1" x14ac:dyDescent="0.35">
      <c r="A422" s="2" t="s">
        <v>802</v>
      </c>
      <c r="B422" s="2" t="str" cm="1">
        <f t="array" ref="B422">_xlfn.IFS(AND(LEN('Special Help Table'!$A422)-(LEN(SUBSTITUTE('Special Help Table'!$A422,";","")))=0,LEN('Special Help Table'!$A422)-LEN(SUBSTITUTE('Special Help Table'!$A422,",",""))=1,LEN('Special Help Table'!$A422)-LEN(SUBSTITUTE('Special Help Table'!$A422,"and ",""))=0),MID('Special Help Table'!$A422&amp;" "&amp;'Special Help Table'!$A422,SEARCH(", ",'Special Help Table'!$A422)+1,LEN('Special Help Table'!$A422)),AND(LEN('Special Help Table'!$A422)-(LEN(SUBSTITUTE('Special Help Table'!$A422,";","")))=1,LEN('Special Help Table'!$A422)-LEN(SUBSTITUTE('Special Help Table'!$A422,"and ",""))=0),MID('Special Help Table'!$A422,SEARCH(",",'Special Help Table'!$A422)+1,(SEARCH(";",'Special Help Table'!$A422)-1)-SEARCH(",",'Special Help Table'!$A422))&amp;" "&amp;LEFT('Special Help Table'!$A422,SEARCH(",",'Special Help Table'!$A422)-1)&amp;";"&amp;RIGHT('Special Help Table'!$A422,LEN('Special Help Table'!$A422)-SEARCH(",",'Special Help Table'!$A422,SEARCH(";",'Special Help Table'!$A422)))&amp;" "&amp;MID('Special Help Table'!$A422,SEARCH("; ",'Special Help Table'!$A422)+2,SEARCH(",",'Special Help Table'!$A422,SEARCH(";",'Special Help Table'!$A422))-SEARCH(";",'Special Help Table'!$A422)-2),AND(LEN('Special Help Table'!$A422)-LEN(SUBSTITUTE('Special Help Table'!$A422,"and ",""))=0,LEN('Special Help Table'!$A422)-LEN(SUBSTITUTE('Special Help Table'!$A422,";",""))=0),'Special Help Table'!$A422,AND(LEN('Special Help Table'!$A422)-LEN(SUBSTITUTE('Special Help Table'!$A422,",","")=1),LEN('Special Help Table'!$A422)-LEN(SUBSTITUTE('Special Help Table'!$A422," ","")=20),LEN('Special Help Table'!$A422)-LEN(SUBSTITUTE('Special Help Table'!$A422," and",""))=0,LEN('Special Help Table'!$A422)-LEN(SUBSTITUTE('Special Help Table'!$A422,",","",FIND(" ",'Special Help Table'!$A422)+1))=0),RIGHT('Special Help Table'!$A422,LEN('Special Help Table'!$A422)-FIND(", ",'Special Help Table'!$A422))&amp;" "&amp;LEFT('Special Help Table'!$A422,FIND(",",'Special Help Table'!$A422)-1),AND(LEN('Special Help Table'!$A422)-LEN(SUBSTITUTE('Special Help Table'!$A422,"editor",""))=6,LEN('Special Help Table'!$A422)-LEN(SUBSTITUTE('Special Help Table'!$A422,"(",""))=0,LEN('Special Help Table'!$A422)-LEN(SUBSTITUTE('Special Help Table'!$A422,"and",""))=3,LEN('Special Help Table'!$A422)-LEN(SUBSTITUTE('Special Help Table'!$A422,",",""))=1,LEN('Special Help Table'!$A422)-LEN(SUBSTITUTE('Special Help Table'!$A422," ",""))=3),'Special Help Table'!$A422)</f>
        <v xml:space="preserve"> John MacArthur</v>
      </c>
      <c r="C422" s="4" t="s">
        <v>822</v>
      </c>
      <c r="D422" s="2"/>
      <c r="E422" s="2" t="s">
        <v>16</v>
      </c>
      <c r="F422" s="2" t="s">
        <v>113</v>
      </c>
      <c r="G422" s="2"/>
      <c r="H422" s="2"/>
      <c r="I422" s="2"/>
      <c r="J422" s="2"/>
      <c r="K422" s="3">
        <v>40047</v>
      </c>
      <c r="L422" s="2"/>
      <c r="M422" s="2"/>
      <c r="N422" s="2" t="s">
        <v>18</v>
      </c>
    </row>
    <row r="423" spans="1:14" ht="15.75" customHeight="1" x14ac:dyDescent="0.35">
      <c r="A423" s="2" t="s">
        <v>802</v>
      </c>
      <c r="B423" s="2" t="str" cm="1">
        <f t="array" ref="B423">_xlfn.IFS(AND(LEN('Special Help Table'!$A423)-(LEN(SUBSTITUTE('Special Help Table'!$A423,";","")))=0,LEN('Special Help Table'!$A423)-LEN(SUBSTITUTE('Special Help Table'!$A423,",",""))=1,LEN('Special Help Table'!$A423)-LEN(SUBSTITUTE('Special Help Table'!$A423,"and ",""))=0),MID('Special Help Table'!$A423&amp;" "&amp;'Special Help Table'!$A423,SEARCH(", ",'Special Help Table'!$A423)+1,LEN('Special Help Table'!$A423)),AND(LEN('Special Help Table'!$A423)-(LEN(SUBSTITUTE('Special Help Table'!$A423,";","")))=1,LEN('Special Help Table'!$A423)-LEN(SUBSTITUTE('Special Help Table'!$A423,"and ",""))=0),MID('Special Help Table'!$A423,SEARCH(",",'Special Help Table'!$A423)+1,(SEARCH(";",'Special Help Table'!$A423)-1)-SEARCH(",",'Special Help Table'!$A423))&amp;" "&amp;LEFT('Special Help Table'!$A423,SEARCH(",",'Special Help Table'!$A423)-1)&amp;";"&amp;RIGHT('Special Help Table'!$A423,LEN('Special Help Table'!$A423)-SEARCH(",",'Special Help Table'!$A423,SEARCH(";",'Special Help Table'!$A423)))&amp;" "&amp;MID('Special Help Table'!$A423,SEARCH("; ",'Special Help Table'!$A423)+2,SEARCH(",",'Special Help Table'!$A423,SEARCH(";",'Special Help Table'!$A423))-SEARCH(";",'Special Help Table'!$A423)-2),AND(LEN('Special Help Table'!$A423)-LEN(SUBSTITUTE('Special Help Table'!$A423,"and ",""))=0,LEN('Special Help Table'!$A423)-LEN(SUBSTITUTE('Special Help Table'!$A423,";",""))=0),'Special Help Table'!$A423,AND(LEN('Special Help Table'!$A423)-LEN(SUBSTITUTE('Special Help Table'!$A423,",","")=1),LEN('Special Help Table'!$A423)-LEN(SUBSTITUTE('Special Help Table'!$A423," ","")=20),LEN('Special Help Table'!$A423)-LEN(SUBSTITUTE('Special Help Table'!$A423," and",""))=0,LEN('Special Help Table'!$A423)-LEN(SUBSTITUTE('Special Help Table'!$A423,",","",FIND(" ",'Special Help Table'!$A423)+1))=0),RIGHT('Special Help Table'!$A423,LEN('Special Help Table'!$A423)-FIND(", ",'Special Help Table'!$A423))&amp;" "&amp;LEFT('Special Help Table'!$A423,FIND(",",'Special Help Table'!$A423)-1),AND(LEN('Special Help Table'!$A423)-LEN(SUBSTITUTE('Special Help Table'!$A423,"editor",""))=6,LEN('Special Help Table'!$A423)-LEN(SUBSTITUTE('Special Help Table'!$A423,"(",""))=0,LEN('Special Help Table'!$A423)-LEN(SUBSTITUTE('Special Help Table'!$A423,"and",""))=3,LEN('Special Help Table'!$A423)-LEN(SUBSTITUTE('Special Help Table'!$A423,",",""))=1,LEN('Special Help Table'!$A423)-LEN(SUBSTITUTE('Special Help Table'!$A423," ",""))=3),'Special Help Table'!$A423)</f>
        <v xml:space="preserve"> John MacArthur</v>
      </c>
      <c r="C423" s="4" t="s">
        <v>823</v>
      </c>
      <c r="D423" s="2"/>
      <c r="E423" s="2" t="s">
        <v>16</v>
      </c>
      <c r="F423" s="2" t="s">
        <v>36</v>
      </c>
      <c r="G423" s="2"/>
      <c r="H423" s="2"/>
      <c r="I423" s="2"/>
      <c r="J423" s="2"/>
      <c r="K423" s="3"/>
      <c r="L423" s="2"/>
      <c r="M423" s="2"/>
      <c r="N423" s="2" t="s">
        <v>18</v>
      </c>
    </row>
    <row r="424" spans="1:14" ht="15.75" customHeight="1" x14ac:dyDescent="0.35">
      <c r="A424" s="2" t="s">
        <v>802</v>
      </c>
      <c r="B424" s="2" t="str" cm="1">
        <f t="array" ref="B424">_xlfn.IFS(AND(LEN('Special Help Table'!$A424)-(LEN(SUBSTITUTE('Special Help Table'!$A424,";","")))=0,LEN('Special Help Table'!$A424)-LEN(SUBSTITUTE('Special Help Table'!$A424,",",""))=1,LEN('Special Help Table'!$A424)-LEN(SUBSTITUTE('Special Help Table'!$A424,"and ",""))=0),MID('Special Help Table'!$A424&amp;" "&amp;'Special Help Table'!$A424,SEARCH(", ",'Special Help Table'!$A424)+1,LEN('Special Help Table'!$A424)),AND(LEN('Special Help Table'!$A424)-(LEN(SUBSTITUTE('Special Help Table'!$A424,";","")))=1,LEN('Special Help Table'!$A424)-LEN(SUBSTITUTE('Special Help Table'!$A424,"and ",""))=0),MID('Special Help Table'!$A424,SEARCH(",",'Special Help Table'!$A424)+1,(SEARCH(";",'Special Help Table'!$A424)-1)-SEARCH(",",'Special Help Table'!$A424))&amp;" "&amp;LEFT('Special Help Table'!$A424,SEARCH(",",'Special Help Table'!$A424)-1)&amp;";"&amp;RIGHT('Special Help Table'!$A424,LEN('Special Help Table'!$A424)-SEARCH(",",'Special Help Table'!$A424,SEARCH(";",'Special Help Table'!$A424)))&amp;" "&amp;MID('Special Help Table'!$A424,SEARCH("; ",'Special Help Table'!$A424)+2,SEARCH(",",'Special Help Table'!$A424,SEARCH(";",'Special Help Table'!$A424))-SEARCH(";",'Special Help Table'!$A424)-2),AND(LEN('Special Help Table'!$A424)-LEN(SUBSTITUTE('Special Help Table'!$A424,"and ",""))=0,LEN('Special Help Table'!$A424)-LEN(SUBSTITUTE('Special Help Table'!$A424,";",""))=0),'Special Help Table'!$A424,AND(LEN('Special Help Table'!$A424)-LEN(SUBSTITUTE('Special Help Table'!$A424,",","")=1),LEN('Special Help Table'!$A424)-LEN(SUBSTITUTE('Special Help Table'!$A424," ","")=20),LEN('Special Help Table'!$A424)-LEN(SUBSTITUTE('Special Help Table'!$A424," and",""))=0,LEN('Special Help Table'!$A424)-LEN(SUBSTITUTE('Special Help Table'!$A424,",","",FIND(" ",'Special Help Table'!$A424)+1))=0),RIGHT('Special Help Table'!$A424,LEN('Special Help Table'!$A424)-FIND(", ",'Special Help Table'!$A424))&amp;" "&amp;LEFT('Special Help Table'!$A424,FIND(",",'Special Help Table'!$A424)-1),AND(LEN('Special Help Table'!$A424)-LEN(SUBSTITUTE('Special Help Table'!$A424,"editor",""))=6,LEN('Special Help Table'!$A424)-LEN(SUBSTITUTE('Special Help Table'!$A424,"(",""))=0,LEN('Special Help Table'!$A424)-LEN(SUBSTITUTE('Special Help Table'!$A424,"and",""))=3,LEN('Special Help Table'!$A424)-LEN(SUBSTITUTE('Special Help Table'!$A424,",",""))=1,LEN('Special Help Table'!$A424)-LEN(SUBSTITUTE('Special Help Table'!$A424," ",""))=3),'Special Help Table'!$A424)</f>
        <v xml:space="preserve"> John MacArthur</v>
      </c>
      <c r="C424" s="4" t="s">
        <v>824</v>
      </c>
      <c r="D424" s="2"/>
      <c r="E424" s="2" t="s">
        <v>16</v>
      </c>
      <c r="F424" s="2" t="s">
        <v>36</v>
      </c>
      <c r="G424" s="2"/>
      <c r="H424" s="2"/>
      <c r="I424" s="2"/>
      <c r="J424" s="2"/>
      <c r="K424" s="3">
        <v>40048</v>
      </c>
      <c r="L424" s="2"/>
      <c r="M424" s="2"/>
      <c r="N424" s="2" t="s">
        <v>18</v>
      </c>
    </row>
    <row r="425" spans="1:14" ht="15.75" customHeight="1" x14ac:dyDescent="0.35">
      <c r="A425" s="2" t="s">
        <v>802</v>
      </c>
      <c r="B425" s="2" t="str" cm="1">
        <f t="array" ref="B425">_xlfn.IFS(AND(LEN('Special Help Table'!$A425)-(LEN(SUBSTITUTE('Special Help Table'!$A425,";","")))=0,LEN('Special Help Table'!$A425)-LEN(SUBSTITUTE('Special Help Table'!$A425,",",""))=1,LEN('Special Help Table'!$A425)-LEN(SUBSTITUTE('Special Help Table'!$A425,"and ",""))=0),MID('Special Help Table'!$A425&amp;" "&amp;'Special Help Table'!$A425,SEARCH(", ",'Special Help Table'!$A425)+1,LEN('Special Help Table'!$A425)),AND(LEN('Special Help Table'!$A425)-(LEN(SUBSTITUTE('Special Help Table'!$A425,";","")))=1,LEN('Special Help Table'!$A425)-LEN(SUBSTITUTE('Special Help Table'!$A425,"and ",""))=0),MID('Special Help Table'!$A425,SEARCH(",",'Special Help Table'!$A425)+1,(SEARCH(";",'Special Help Table'!$A425)-1)-SEARCH(",",'Special Help Table'!$A425))&amp;" "&amp;LEFT('Special Help Table'!$A425,SEARCH(",",'Special Help Table'!$A425)-1)&amp;";"&amp;RIGHT('Special Help Table'!$A425,LEN('Special Help Table'!$A425)-SEARCH(",",'Special Help Table'!$A425,SEARCH(";",'Special Help Table'!$A425)))&amp;" "&amp;MID('Special Help Table'!$A425,SEARCH("; ",'Special Help Table'!$A425)+2,SEARCH(",",'Special Help Table'!$A425,SEARCH(";",'Special Help Table'!$A425))-SEARCH(";",'Special Help Table'!$A425)-2),AND(LEN('Special Help Table'!$A425)-LEN(SUBSTITUTE('Special Help Table'!$A425,"and ",""))=0,LEN('Special Help Table'!$A425)-LEN(SUBSTITUTE('Special Help Table'!$A425,";",""))=0),'Special Help Table'!$A425,AND(LEN('Special Help Table'!$A425)-LEN(SUBSTITUTE('Special Help Table'!$A425,",","")=1),LEN('Special Help Table'!$A425)-LEN(SUBSTITUTE('Special Help Table'!$A425," ","")=20),LEN('Special Help Table'!$A425)-LEN(SUBSTITUTE('Special Help Table'!$A425," and",""))=0,LEN('Special Help Table'!$A425)-LEN(SUBSTITUTE('Special Help Table'!$A425,",","",FIND(" ",'Special Help Table'!$A425)+1))=0),RIGHT('Special Help Table'!$A425,LEN('Special Help Table'!$A425)-FIND(", ",'Special Help Table'!$A425))&amp;" "&amp;LEFT('Special Help Table'!$A425,FIND(",",'Special Help Table'!$A425)-1),AND(LEN('Special Help Table'!$A425)-LEN(SUBSTITUTE('Special Help Table'!$A425,"editor",""))=6,LEN('Special Help Table'!$A425)-LEN(SUBSTITUTE('Special Help Table'!$A425,"(",""))=0,LEN('Special Help Table'!$A425)-LEN(SUBSTITUTE('Special Help Table'!$A425,"and",""))=3,LEN('Special Help Table'!$A425)-LEN(SUBSTITUTE('Special Help Table'!$A425,",",""))=1,LEN('Special Help Table'!$A425)-LEN(SUBSTITUTE('Special Help Table'!$A425," ",""))=3),'Special Help Table'!$A425)</f>
        <v xml:space="preserve"> John MacArthur</v>
      </c>
      <c r="C425" s="4" t="s">
        <v>825</v>
      </c>
      <c r="D425" s="2"/>
      <c r="E425" s="2" t="s">
        <v>16</v>
      </c>
      <c r="F425" s="2" t="s">
        <v>20</v>
      </c>
      <c r="G425" s="2"/>
      <c r="H425" s="2"/>
      <c r="I425" s="2"/>
      <c r="J425" s="2" t="s">
        <v>738</v>
      </c>
      <c r="K425" s="3">
        <v>40049</v>
      </c>
      <c r="L425" s="2"/>
      <c r="M425" s="2"/>
      <c r="N425" s="2" t="s">
        <v>18</v>
      </c>
    </row>
    <row r="426" spans="1:14" ht="15.75" customHeight="1" x14ac:dyDescent="0.35">
      <c r="A426" s="2" t="s">
        <v>802</v>
      </c>
      <c r="B426" s="2" t="str" cm="1">
        <f t="array" ref="B426">_xlfn.IFS(AND(LEN('Special Help Table'!$A426)-(LEN(SUBSTITUTE('Special Help Table'!$A426,";","")))=0,LEN('Special Help Table'!$A426)-LEN(SUBSTITUTE('Special Help Table'!$A426,",",""))=1,LEN('Special Help Table'!$A426)-LEN(SUBSTITUTE('Special Help Table'!$A426,"and ",""))=0),MID('Special Help Table'!$A426&amp;" "&amp;'Special Help Table'!$A426,SEARCH(", ",'Special Help Table'!$A426)+1,LEN('Special Help Table'!$A426)),AND(LEN('Special Help Table'!$A426)-(LEN(SUBSTITUTE('Special Help Table'!$A426,";","")))=1,LEN('Special Help Table'!$A426)-LEN(SUBSTITUTE('Special Help Table'!$A426,"and ",""))=0),MID('Special Help Table'!$A426,SEARCH(",",'Special Help Table'!$A426)+1,(SEARCH(";",'Special Help Table'!$A426)-1)-SEARCH(",",'Special Help Table'!$A426))&amp;" "&amp;LEFT('Special Help Table'!$A426,SEARCH(",",'Special Help Table'!$A426)-1)&amp;";"&amp;RIGHT('Special Help Table'!$A426,LEN('Special Help Table'!$A426)-SEARCH(",",'Special Help Table'!$A426,SEARCH(";",'Special Help Table'!$A426)))&amp;" "&amp;MID('Special Help Table'!$A426,SEARCH("; ",'Special Help Table'!$A426)+2,SEARCH(",",'Special Help Table'!$A426,SEARCH(";",'Special Help Table'!$A426))-SEARCH(";",'Special Help Table'!$A426)-2),AND(LEN('Special Help Table'!$A426)-LEN(SUBSTITUTE('Special Help Table'!$A426,"and ",""))=0,LEN('Special Help Table'!$A426)-LEN(SUBSTITUTE('Special Help Table'!$A426,";",""))=0),'Special Help Table'!$A426,AND(LEN('Special Help Table'!$A426)-LEN(SUBSTITUTE('Special Help Table'!$A426,",","")=1),LEN('Special Help Table'!$A426)-LEN(SUBSTITUTE('Special Help Table'!$A426," ","")=20),LEN('Special Help Table'!$A426)-LEN(SUBSTITUTE('Special Help Table'!$A426," and",""))=0,LEN('Special Help Table'!$A426)-LEN(SUBSTITUTE('Special Help Table'!$A426,",","",FIND(" ",'Special Help Table'!$A426)+1))=0),RIGHT('Special Help Table'!$A426,LEN('Special Help Table'!$A426)-FIND(", ",'Special Help Table'!$A426))&amp;" "&amp;LEFT('Special Help Table'!$A426,FIND(",",'Special Help Table'!$A426)-1),AND(LEN('Special Help Table'!$A426)-LEN(SUBSTITUTE('Special Help Table'!$A426,"editor",""))=6,LEN('Special Help Table'!$A426)-LEN(SUBSTITUTE('Special Help Table'!$A426,"(",""))=0,LEN('Special Help Table'!$A426)-LEN(SUBSTITUTE('Special Help Table'!$A426,"and",""))=3,LEN('Special Help Table'!$A426)-LEN(SUBSTITUTE('Special Help Table'!$A426,",",""))=1,LEN('Special Help Table'!$A426)-LEN(SUBSTITUTE('Special Help Table'!$A426," ",""))=3),'Special Help Table'!$A426)</f>
        <v xml:space="preserve"> John MacArthur</v>
      </c>
      <c r="C426" s="4" t="s">
        <v>826</v>
      </c>
      <c r="D426" s="2"/>
      <c r="E426" s="2" t="s">
        <v>16</v>
      </c>
      <c r="F426" s="2" t="s">
        <v>36</v>
      </c>
      <c r="G426" s="2"/>
      <c r="H426" s="2"/>
      <c r="I426" s="2"/>
      <c r="J426" s="2"/>
      <c r="K426" s="3">
        <v>40050</v>
      </c>
      <c r="L426" s="2"/>
      <c r="M426" s="2"/>
      <c r="N426" s="2" t="s">
        <v>18</v>
      </c>
    </row>
    <row r="427" spans="1:14" ht="15.75" customHeight="1" x14ac:dyDescent="0.35">
      <c r="A427" s="2" t="s">
        <v>802</v>
      </c>
      <c r="B427" s="2" t="str" cm="1">
        <f t="array" ref="B427">_xlfn.IFS(AND(LEN('Special Help Table'!$A427)-(LEN(SUBSTITUTE('Special Help Table'!$A427,";","")))=0,LEN('Special Help Table'!$A427)-LEN(SUBSTITUTE('Special Help Table'!$A427,",",""))=1,LEN('Special Help Table'!$A427)-LEN(SUBSTITUTE('Special Help Table'!$A427,"and ",""))=0),MID('Special Help Table'!$A427&amp;" "&amp;'Special Help Table'!$A427,SEARCH(", ",'Special Help Table'!$A427)+1,LEN('Special Help Table'!$A427)),AND(LEN('Special Help Table'!$A427)-(LEN(SUBSTITUTE('Special Help Table'!$A427,";","")))=1,LEN('Special Help Table'!$A427)-LEN(SUBSTITUTE('Special Help Table'!$A427,"and ",""))=0),MID('Special Help Table'!$A427,SEARCH(",",'Special Help Table'!$A427)+1,(SEARCH(";",'Special Help Table'!$A427)-1)-SEARCH(",",'Special Help Table'!$A427))&amp;" "&amp;LEFT('Special Help Table'!$A427,SEARCH(",",'Special Help Table'!$A427)-1)&amp;";"&amp;RIGHT('Special Help Table'!$A427,LEN('Special Help Table'!$A427)-SEARCH(",",'Special Help Table'!$A427,SEARCH(";",'Special Help Table'!$A427)))&amp;" "&amp;MID('Special Help Table'!$A427,SEARCH("; ",'Special Help Table'!$A427)+2,SEARCH(",",'Special Help Table'!$A427,SEARCH(";",'Special Help Table'!$A427))-SEARCH(";",'Special Help Table'!$A427)-2),AND(LEN('Special Help Table'!$A427)-LEN(SUBSTITUTE('Special Help Table'!$A427,"and ",""))=0,LEN('Special Help Table'!$A427)-LEN(SUBSTITUTE('Special Help Table'!$A427,";",""))=0),'Special Help Table'!$A427,AND(LEN('Special Help Table'!$A427)-LEN(SUBSTITUTE('Special Help Table'!$A427,",","")=1),LEN('Special Help Table'!$A427)-LEN(SUBSTITUTE('Special Help Table'!$A427," ","")=20),LEN('Special Help Table'!$A427)-LEN(SUBSTITUTE('Special Help Table'!$A427," and",""))=0,LEN('Special Help Table'!$A427)-LEN(SUBSTITUTE('Special Help Table'!$A427,",","",FIND(" ",'Special Help Table'!$A427)+1))=0),RIGHT('Special Help Table'!$A427,LEN('Special Help Table'!$A427)-FIND(", ",'Special Help Table'!$A427))&amp;" "&amp;LEFT('Special Help Table'!$A427,FIND(",",'Special Help Table'!$A427)-1),AND(LEN('Special Help Table'!$A427)-LEN(SUBSTITUTE('Special Help Table'!$A427,"editor",""))=6,LEN('Special Help Table'!$A427)-LEN(SUBSTITUTE('Special Help Table'!$A427,"(",""))=0,LEN('Special Help Table'!$A427)-LEN(SUBSTITUTE('Special Help Table'!$A427,"and",""))=3,LEN('Special Help Table'!$A427)-LEN(SUBSTITUTE('Special Help Table'!$A427,",",""))=1,LEN('Special Help Table'!$A427)-LEN(SUBSTITUTE('Special Help Table'!$A427," ",""))=3),'Special Help Table'!$A427)</f>
        <v xml:space="preserve"> John MacArthur</v>
      </c>
      <c r="C427" s="4" t="s">
        <v>827</v>
      </c>
      <c r="D427" s="2"/>
      <c r="E427" s="2" t="s">
        <v>16</v>
      </c>
      <c r="F427" s="2" t="s">
        <v>36</v>
      </c>
      <c r="G427" s="2"/>
      <c r="H427" s="2"/>
      <c r="I427" s="2"/>
      <c r="J427" s="2"/>
      <c r="K427" s="3">
        <v>40051</v>
      </c>
      <c r="L427" s="2"/>
      <c r="M427" s="2"/>
      <c r="N427" s="2" t="s">
        <v>18</v>
      </c>
    </row>
    <row r="428" spans="1:14" ht="15.75" customHeight="1" x14ac:dyDescent="0.35">
      <c r="A428" s="2" t="s">
        <v>828</v>
      </c>
      <c r="B428" s="2" t="str" cm="1">
        <f t="array" ref="B428">_xlfn.IFS(AND(LEN('Special Help Table'!$A428)-(LEN(SUBSTITUTE('Special Help Table'!$A428,";","")))=0,LEN('Special Help Table'!$A428)-LEN(SUBSTITUTE('Special Help Table'!$A428,",",""))=1,LEN('Special Help Table'!$A428)-LEN(SUBSTITUTE('Special Help Table'!$A428,"and ",""))=0),MID('Special Help Table'!$A428&amp;" "&amp;'Special Help Table'!$A428,SEARCH(", ",'Special Help Table'!$A428)+1,LEN('Special Help Table'!$A428)),AND(LEN('Special Help Table'!$A428)-(LEN(SUBSTITUTE('Special Help Table'!$A428,";","")))=1,LEN('Special Help Table'!$A428)-LEN(SUBSTITUTE('Special Help Table'!$A428,"and ",""))=0),MID('Special Help Table'!$A428,SEARCH(",",'Special Help Table'!$A428)+1,(SEARCH(";",'Special Help Table'!$A428)-1)-SEARCH(",",'Special Help Table'!$A428))&amp;" "&amp;LEFT('Special Help Table'!$A428,SEARCH(",",'Special Help Table'!$A428)-1)&amp;";"&amp;RIGHT('Special Help Table'!$A428,LEN('Special Help Table'!$A428)-SEARCH(",",'Special Help Table'!$A428,SEARCH(";",'Special Help Table'!$A428)))&amp;" "&amp;MID('Special Help Table'!$A428,SEARCH("; ",'Special Help Table'!$A428)+2,SEARCH(",",'Special Help Table'!$A428,SEARCH(";",'Special Help Table'!$A428))-SEARCH(";",'Special Help Table'!$A428)-2),AND(LEN('Special Help Table'!$A428)-LEN(SUBSTITUTE('Special Help Table'!$A428,"and ",""))=0,LEN('Special Help Table'!$A428)-LEN(SUBSTITUTE('Special Help Table'!$A428,";",""))=0),'Special Help Table'!$A428,AND(LEN('Special Help Table'!$A428)-LEN(SUBSTITUTE('Special Help Table'!$A428,",","")=1),LEN('Special Help Table'!$A428)-LEN(SUBSTITUTE('Special Help Table'!$A428," ","")=20),LEN('Special Help Table'!$A428)-LEN(SUBSTITUTE('Special Help Table'!$A428," and",""))=0,LEN('Special Help Table'!$A428)-LEN(SUBSTITUTE('Special Help Table'!$A428,",","",FIND(" ",'Special Help Table'!$A428)+1))=0),RIGHT('Special Help Table'!$A428,LEN('Special Help Table'!$A428)-FIND(", ",'Special Help Table'!$A428))&amp;" "&amp;LEFT('Special Help Table'!$A428,FIND(",",'Special Help Table'!$A428)-1),AND(LEN('Special Help Table'!$A428)-LEN(SUBSTITUTE('Special Help Table'!$A428,"editor",""))=6,LEN('Special Help Table'!$A428)-LEN(SUBSTITUTE('Special Help Table'!$A428,"(",""))=0,LEN('Special Help Table'!$A428)-LEN(SUBSTITUTE('Special Help Table'!$A428,"and",""))=3,LEN('Special Help Table'!$A428)-LEN(SUBSTITUTE('Special Help Table'!$A428,",",""))=1,LEN('Special Help Table'!$A428)-LEN(SUBSTITUTE('Special Help Table'!$A428," ",""))=3),'Special Help Table'!$A428)</f>
        <v xml:space="preserve"> John MacArthur; Richard Mahue</v>
      </c>
      <c r="C428" s="4" t="s">
        <v>829</v>
      </c>
      <c r="D428" s="2"/>
      <c r="E428" s="2" t="s">
        <v>16</v>
      </c>
      <c r="F428" s="2" t="s">
        <v>92</v>
      </c>
      <c r="G428" s="2"/>
      <c r="H428" s="2"/>
      <c r="I428" s="2"/>
      <c r="J428" s="2"/>
      <c r="K428" s="3"/>
      <c r="L428" s="2"/>
      <c r="M428" s="2"/>
      <c r="N428" s="2" t="s">
        <v>18</v>
      </c>
    </row>
    <row r="429" spans="1:14" ht="15.75" customHeight="1" x14ac:dyDescent="0.35">
      <c r="A429" s="2" t="s">
        <v>830</v>
      </c>
      <c r="B429" s="2" t="str" cm="1">
        <f t="array" ref="B429">_xlfn.IFS(AND(LEN('Special Help Table'!$A429)-(LEN(SUBSTITUTE('Special Help Table'!$A429,";","")))=0,LEN('Special Help Table'!$A429)-LEN(SUBSTITUTE('Special Help Table'!$A429,",",""))=1,LEN('Special Help Table'!$A429)-LEN(SUBSTITUTE('Special Help Table'!$A429,"and ",""))=0),MID('Special Help Table'!$A429&amp;" "&amp;'Special Help Table'!$A429,SEARCH(", ",'Special Help Table'!$A429)+1,LEN('Special Help Table'!$A429)),AND(LEN('Special Help Table'!$A429)-(LEN(SUBSTITUTE('Special Help Table'!$A429,";","")))=1,LEN('Special Help Table'!$A429)-LEN(SUBSTITUTE('Special Help Table'!$A429,"and ",""))=0),MID('Special Help Table'!$A429,SEARCH(",",'Special Help Table'!$A429)+1,(SEARCH(";",'Special Help Table'!$A429)-1)-SEARCH(",",'Special Help Table'!$A429))&amp;" "&amp;LEFT('Special Help Table'!$A429,SEARCH(",",'Special Help Table'!$A429)-1)&amp;";"&amp;RIGHT('Special Help Table'!$A429,LEN('Special Help Table'!$A429)-SEARCH(",",'Special Help Table'!$A429,SEARCH(";",'Special Help Table'!$A429)))&amp;" "&amp;MID('Special Help Table'!$A429,SEARCH("; ",'Special Help Table'!$A429)+2,SEARCH(",",'Special Help Table'!$A429,SEARCH(";",'Special Help Table'!$A429))-SEARCH(";",'Special Help Table'!$A429)-2),AND(LEN('Special Help Table'!$A429)-LEN(SUBSTITUTE('Special Help Table'!$A429,"and ",""))=0,LEN('Special Help Table'!$A429)-LEN(SUBSTITUTE('Special Help Table'!$A429,";",""))=0),'Special Help Table'!$A429,AND(LEN('Special Help Table'!$A429)-LEN(SUBSTITUTE('Special Help Table'!$A429,",","")=1),LEN('Special Help Table'!$A429)-LEN(SUBSTITUTE('Special Help Table'!$A429," ","")=20),LEN('Special Help Table'!$A429)-LEN(SUBSTITUTE('Special Help Table'!$A429," and",""))=0,LEN('Special Help Table'!$A429)-LEN(SUBSTITUTE('Special Help Table'!$A429,",","",FIND(" ",'Special Help Table'!$A429)+1))=0),RIGHT('Special Help Table'!$A429,LEN('Special Help Table'!$A429)-FIND(", ",'Special Help Table'!$A429))&amp;" "&amp;LEFT('Special Help Table'!$A429,FIND(",",'Special Help Table'!$A429)-1),AND(LEN('Special Help Table'!$A429)-LEN(SUBSTITUTE('Special Help Table'!$A429,"editor",""))=6,LEN('Special Help Table'!$A429)-LEN(SUBSTITUTE('Special Help Table'!$A429,"(",""))=0,LEN('Special Help Table'!$A429)-LEN(SUBSTITUTE('Special Help Table'!$A429,"and",""))=3,LEN('Special Help Table'!$A429)-LEN(SUBSTITUTE('Special Help Table'!$A429,",",""))=1,LEN('Special Help Table'!$A429)-LEN(SUBSTITUTE('Special Help Table'!$A429," ",""))=3),'Special Help Table'!$A429)</f>
        <v xml:space="preserve"> J. Gresham Machen</v>
      </c>
      <c r="C429" s="4" t="s">
        <v>831</v>
      </c>
      <c r="D429" s="2"/>
      <c r="E429" s="2" t="s">
        <v>16</v>
      </c>
      <c r="F429" s="2" t="s">
        <v>28</v>
      </c>
      <c r="G429" s="2"/>
      <c r="H429" s="2"/>
      <c r="I429" s="2"/>
      <c r="J429" s="2"/>
      <c r="K429" s="3">
        <v>42856</v>
      </c>
      <c r="L429" s="2"/>
      <c r="M429" s="2"/>
      <c r="N429" s="2" t="s">
        <v>18</v>
      </c>
    </row>
    <row r="430" spans="1:14" ht="15.75" customHeight="1" x14ac:dyDescent="0.35">
      <c r="A430" s="2" t="s">
        <v>832</v>
      </c>
      <c r="B430" s="2" t="str" cm="1">
        <f t="array" ref="B430">_xlfn.IFS(AND(LEN('Special Help Table'!$A430)-(LEN(SUBSTITUTE('Special Help Table'!$A430,";","")))=0,LEN('Special Help Table'!$A430)-LEN(SUBSTITUTE('Special Help Table'!$A430,",",""))=1,LEN('Special Help Table'!$A430)-LEN(SUBSTITUTE('Special Help Table'!$A430,"and ",""))=0),MID('Special Help Table'!$A430&amp;" "&amp;'Special Help Table'!$A430,SEARCH(", ",'Special Help Table'!$A430)+1,LEN('Special Help Table'!$A430)),AND(LEN('Special Help Table'!$A430)-(LEN(SUBSTITUTE('Special Help Table'!$A430,";","")))=1,LEN('Special Help Table'!$A430)-LEN(SUBSTITUTE('Special Help Table'!$A430,"and ",""))=0),MID('Special Help Table'!$A430,SEARCH(",",'Special Help Table'!$A430)+1,(SEARCH(";",'Special Help Table'!$A430)-1)-SEARCH(",",'Special Help Table'!$A430))&amp;" "&amp;LEFT('Special Help Table'!$A430,SEARCH(",",'Special Help Table'!$A430)-1)&amp;";"&amp;RIGHT('Special Help Table'!$A430,LEN('Special Help Table'!$A430)-SEARCH(",",'Special Help Table'!$A430,SEARCH(";",'Special Help Table'!$A430)))&amp;" "&amp;MID('Special Help Table'!$A430,SEARCH("; ",'Special Help Table'!$A430)+2,SEARCH(",",'Special Help Table'!$A430,SEARCH(";",'Special Help Table'!$A430))-SEARCH(";",'Special Help Table'!$A430)-2),AND(LEN('Special Help Table'!$A430)-LEN(SUBSTITUTE('Special Help Table'!$A430,"and ",""))=0,LEN('Special Help Table'!$A430)-LEN(SUBSTITUTE('Special Help Table'!$A430,";",""))=0),'Special Help Table'!$A430,AND(LEN('Special Help Table'!$A430)-LEN(SUBSTITUTE('Special Help Table'!$A430,",","")=1),LEN('Special Help Table'!$A430)-LEN(SUBSTITUTE('Special Help Table'!$A430," ","")=20),LEN('Special Help Table'!$A430)-LEN(SUBSTITUTE('Special Help Table'!$A430," and",""))=0,LEN('Special Help Table'!$A430)-LEN(SUBSTITUTE('Special Help Table'!$A430,",","",FIND(" ",'Special Help Table'!$A430)+1))=0),RIGHT('Special Help Table'!$A430,LEN('Special Help Table'!$A430)-FIND(", ",'Special Help Table'!$A430))&amp;" "&amp;LEFT('Special Help Table'!$A430,FIND(",",'Special Help Table'!$A430)-1),AND(LEN('Special Help Table'!$A430)-LEN(SUBSTITUTE('Special Help Table'!$A430,"editor",""))=6,LEN('Special Help Table'!$A430)-LEN(SUBSTITUTE('Special Help Table'!$A430,"(",""))=0,LEN('Special Help Table'!$A430)-LEN(SUBSTITUTE('Special Help Table'!$A430,"and",""))=3,LEN('Special Help Table'!$A430)-LEN(SUBSTITUTE('Special Help Table'!$A430,",",""))=1,LEN('Special Help Table'!$A430)-LEN(SUBSTITUTE('Special Help Table'!$A430," ",""))=3),'Special Help Table'!$A430)</f>
        <v xml:space="preserve"> Marty Machowski</v>
      </c>
      <c r="C430" s="4" t="s">
        <v>833</v>
      </c>
      <c r="D430" s="2"/>
      <c r="E430" s="2" t="s">
        <v>16</v>
      </c>
      <c r="F430" s="2" t="s">
        <v>72</v>
      </c>
      <c r="G430" s="2"/>
      <c r="H430" s="2"/>
      <c r="I430" s="2"/>
      <c r="J430" s="2"/>
      <c r="K430" s="3">
        <v>43831</v>
      </c>
      <c r="L430" s="2"/>
      <c r="M430" s="2"/>
      <c r="N430" s="2" t="s">
        <v>18</v>
      </c>
    </row>
    <row r="431" spans="1:14" ht="15.75" customHeight="1" x14ac:dyDescent="0.35">
      <c r="A431" s="2" t="s">
        <v>832</v>
      </c>
      <c r="B431" s="2" t="str" cm="1">
        <f t="array" ref="B431">_xlfn.IFS(AND(LEN('Special Help Table'!$A431)-(LEN(SUBSTITUTE('Special Help Table'!$A431,";","")))=0,LEN('Special Help Table'!$A431)-LEN(SUBSTITUTE('Special Help Table'!$A431,",",""))=1,LEN('Special Help Table'!$A431)-LEN(SUBSTITUTE('Special Help Table'!$A431,"and ",""))=0),MID('Special Help Table'!$A431&amp;" "&amp;'Special Help Table'!$A431,SEARCH(", ",'Special Help Table'!$A431)+1,LEN('Special Help Table'!$A431)),AND(LEN('Special Help Table'!$A431)-(LEN(SUBSTITUTE('Special Help Table'!$A431,";","")))=1,LEN('Special Help Table'!$A431)-LEN(SUBSTITUTE('Special Help Table'!$A431,"and ",""))=0),MID('Special Help Table'!$A431,SEARCH(",",'Special Help Table'!$A431)+1,(SEARCH(";",'Special Help Table'!$A431)-1)-SEARCH(",",'Special Help Table'!$A431))&amp;" "&amp;LEFT('Special Help Table'!$A431,SEARCH(",",'Special Help Table'!$A431)-1)&amp;";"&amp;RIGHT('Special Help Table'!$A431,LEN('Special Help Table'!$A431)-SEARCH(",",'Special Help Table'!$A431,SEARCH(";",'Special Help Table'!$A431)))&amp;" "&amp;MID('Special Help Table'!$A431,SEARCH("; ",'Special Help Table'!$A431)+2,SEARCH(",",'Special Help Table'!$A431,SEARCH(";",'Special Help Table'!$A431))-SEARCH(";",'Special Help Table'!$A431)-2),AND(LEN('Special Help Table'!$A431)-LEN(SUBSTITUTE('Special Help Table'!$A431,"and ",""))=0,LEN('Special Help Table'!$A431)-LEN(SUBSTITUTE('Special Help Table'!$A431,";",""))=0),'Special Help Table'!$A431,AND(LEN('Special Help Table'!$A431)-LEN(SUBSTITUTE('Special Help Table'!$A431,",","")=1),LEN('Special Help Table'!$A431)-LEN(SUBSTITUTE('Special Help Table'!$A431," ","")=20),LEN('Special Help Table'!$A431)-LEN(SUBSTITUTE('Special Help Table'!$A431," and",""))=0,LEN('Special Help Table'!$A431)-LEN(SUBSTITUTE('Special Help Table'!$A431,",","",FIND(" ",'Special Help Table'!$A431)+1))=0),RIGHT('Special Help Table'!$A431,LEN('Special Help Table'!$A431)-FIND(", ",'Special Help Table'!$A431))&amp;" "&amp;LEFT('Special Help Table'!$A431,FIND(",",'Special Help Table'!$A431)-1),AND(LEN('Special Help Table'!$A431)-LEN(SUBSTITUTE('Special Help Table'!$A431,"editor",""))=6,LEN('Special Help Table'!$A431)-LEN(SUBSTITUTE('Special Help Table'!$A431,"(",""))=0,LEN('Special Help Table'!$A431)-LEN(SUBSTITUTE('Special Help Table'!$A431,"and",""))=3,LEN('Special Help Table'!$A431)-LEN(SUBSTITUTE('Special Help Table'!$A431,",",""))=1,LEN('Special Help Table'!$A431)-LEN(SUBSTITUTE('Special Help Table'!$A431," ",""))=3),'Special Help Table'!$A431)</f>
        <v xml:space="preserve"> Marty Machowski</v>
      </c>
      <c r="C431" s="4" t="s">
        <v>834</v>
      </c>
      <c r="D431" s="2"/>
      <c r="E431" s="2" t="s">
        <v>16</v>
      </c>
      <c r="F431" s="2" t="s">
        <v>72</v>
      </c>
      <c r="G431" s="2"/>
      <c r="H431" s="2"/>
      <c r="I431" s="2"/>
      <c r="J431" s="2"/>
      <c r="K431" s="3">
        <v>42966</v>
      </c>
      <c r="L431" s="2"/>
      <c r="M431" s="2"/>
      <c r="N431" s="2" t="s">
        <v>18</v>
      </c>
    </row>
    <row r="432" spans="1:14" ht="15.75" customHeight="1" x14ac:dyDescent="0.35">
      <c r="A432" s="2" t="s">
        <v>832</v>
      </c>
      <c r="B432" s="2" t="str" cm="1">
        <f t="array" ref="B432">_xlfn.IFS(AND(LEN('Special Help Table'!$A432)-(LEN(SUBSTITUTE('Special Help Table'!$A432,";","")))=0,LEN('Special Help Table'!$A432)-LEN(SUBSTITUTE('Special Help Table'!$A432,",",""))=1,LEN('Special Help Table'!$A432)-LEN(SUBSTITUTE('Special Help Table'!$A432,"and ",""))=0),MID('Special Help Table'!$A432&amp;" "&amp;'Special Help Table'!$A432,SEARCH(", ",'Special Help Table'!$A432)+1,LEN('Special Help Table'!$A432)),AND(LEN('Special Help Table'!$A432)-(LEN(SUBSTITUTE('Special Help Table'!$A432,";","")))=1,LEN('Special Help Table'!$A432)-LEN(SUBSTITUTE('Special Help Table'!$A432,"and ",""))=0),MID('Special Help Table'!$A432,SEARCH(",",'Special Help Table'!$A432)+1,(SEARCH(";",'Special Help Table'!$A432)-1)-SEARCH(",",'Special Help Table'!$A432))&amp;" "&amp;LEFT('Special Help Table'!$A432,SEARCH(",",'Special Help Table'!$A432)-1)&amp;";"&amp;RIGHT('Special Help Table'!$A432,LEN('Special Help Table'!$A432)-SEARCH(",",'Special Help Table'!$A432,SEARCH(";",'Special Help Table'!$A432)))&amp;" "&amp;MID('Special Help Table'!$A432,SEARCH("; ",'Special Help Table'!$A432)+2,SEARCH(",",'Special Help Table'!$A432,SEARCH(";",'Special Help Table'!$A432))-SEARCH(";",'Special Help Table'!$A432)-2),AND(LEN('Special Help Table'!$A432)-LEN(SUBSTITUTE('Special Help Table'!$A432,"and ",""))=0,LEN('Special Help Table'!$A432)-LEN(SUBSTITUTE('Special Help Table'!$A432,";",""))=0),'Special Help Table'!$A432,AND(LEN('Special Help Table'!$A432)-LEN(SUBSTITUTE('Special Help Table'!$A432,",","")=1),LEN('Special Help Table'!$A432)-LEN(SUBSTITUTE('Special Help Table'!$A432," ","")=20),LEN('Special Help Table'!$A432)-LEN(SUBSTITUTE('Special Help Table'!$A432," and",""))=0,LEN('Special Help Table'!$A432)-LEN(SUBSTITUTE('Special Help Table'!$A432,",","",FIND(" ",'Special Help Table'!$A432)+1))=0),RIGHT('Special Help Table'!$A432,LEN('Special Help Table'!$A432)-FIND(", ",'Special Help Table'!$A432))&amp;" "&amp;LEFT('Special Help Table'!$A432,FIND(",",'Special Help Table'!$A432)-1),AND(LEN('Special Help Table'!$A432)-LEN(SUBSTITUTE('Special Help Table'!$A432,"editor",""))=6,LEN('Special Help Table'!$A432)-LEN(SUBSTITUTE('Special Help Table'!$A432,"(",""))=0,LEN('Special Help Table'!$A432)-LEN(SUBSTITUTE('Special Help Table'!$A432,"and",""))=3,LEN('Special Help Table'!$A432)-LEN(SUBSTITUTE('Special Help Table'!$A432,",",""))=1,LEN('Special Help Table'!$A432)-LEN(SUBSTITUTE('Special Help Table'!$A432," ",""))=3),'Special Help Table'!$A432)</f>
        <v xml:space="preserve"> Marty Machowski</v>
      </c>
      <c r="C432" s="4" t="s">
        <v>835</v>
      </c>
      <c r="D432" s="2"/>
      <c r="E432" s="2" t="s">
        <v>16</v>
      </c>
      <c r="F432" s="2" t="s">
        <v>36</v>
      </c>
      <c r="G432" s="2"/>
      <c r="H432" s="2"/>
      <c r="I432" s="2" t="s">
        <v>100</v>
      </c>
      <c r="J432" s="2"/>
      <c r="K432" s="3">
        <v>44044</v>
      </c>
      <c r="L432" s="2"/>
      <c r="M432" s="2"/>
      <c r="N432" s="2" t="s">
        <v>18</v>
      </c>
    </row>
    <row r="433" spans="1:14" ht="15.75" customHeight="1" x14ac:dyDescent="0.35">
      <c r="A433" s="2" t="s">
        <v>836</v>
      </c>
      <c r="B433" s="2" t="str" cm="1">
        <f t="array" ref="B433">_xlfn.IFS(AND(LEN('Special Help Table'!$A433)-(LEN(SUBSTITUTE('Special Help Table'!$A433,";","")))=0,LEN('Special Help Table'!$A433)-LEN(SUBSTITUTE('Special Help Table'!$A433,",",""))=1,LEN('Special Help Table'!$A433)-LEN(SUBSTITUTE('Special Help Table'!$A433,"and ",""))=0),MID('Special Help Table'!$A433&amp;" "&amp;'Special Help Table'!$A433,SEARCH(", ",'Special Help Table'!$A433)+1,LEN('Special Help Table'!$A433)),AND(LEN('Special Help Table'!$A433)-(LEN(SUBSTITUTE('Special Help Table'!$A433,";","")))=1,LEN('Special Help Table'!$A433)-LEN(SUBSTITUTE('Special Help Table'!$A433,"and ",""))=0),MID('Special Help Table'!$A433,SEARCH(",",'Special Help Table'!$A433)+1,(SEARCH(";",'Special Help Table'!$A433)-1)-SEARCH(",",'Special Help Table'!$A433))&amp;" "&amp;LEFT('Special Help Table'!$A433,SEARCH(",",'Special Help Table'!$A433)-1)&amp;";"&amp;RIGHT('Special Help Table'!$A433,LEN('Special Help Table'!$A433)-SEARCH(",",'Special Help Table'!$A433,SEARCH(";",'Special Help Table'!$A433)))&amp;" "&amp;MID('Special Help Table'!$A433,SEARCH("; ",'Special Help Table'!$A433)+2,SEARCH(",",'Special Help Table'!$A433,SEARCH(";",'Special Help Table'!$A433))-SEARCH(";",'Special Help Table'!$A433)-2),AND(LEN('Special Help Table'!$A433)-LEN(SUBSTITUTE('Special Help Table'!$A433,"and ",""))=0,LEN('Special Help Table'!$A433)-LEN(SUBSTITUTE('Special Help Table'!$A433,";",""))=0),'Special Help Table'!$A433,AND(LEN('Special Help Table'!$A433)-LEN(SUBSTITUTE('Special Help Table'!$A433,",","")=1),LEN('Special Help Table'!$A433)-LEN(SUBSTITUTE('Special Help Table'!$A433," ","")=20),LEN('Special Help Table'!$A433)-LEN(SUBSTITUTE('Special Help Table'!$A433," and",""))=0,LEN('Special Help Table'!$A433)-LEN(SUBSTITUTE('Special Help Table'!$A433,",","",FIND(" ",'Special Help Table'!$A433)+1))=0),RIGHT('Special Help Table'!$A433,LEN('Special Help Table'!$A433)-FIND(", ",'Special Help Table'!$A433))&amp;" "&amp;LEFT('Special Help Table'!$A433,FIND(",",'Special Help Table'!$A433)-1),AND(LEN('Special Help Table'!$A433)-LEN(SUBSTITUTE('Special Help Table'!$A433,"editor",""))=6,LEN('Special Help Table'!$A433)-LEN(SUBSTITUTE('Special Help Table'!$A433,"(",""))=0,LEN('Special Help Table'!$A433)-LEN(SUBSTITUTE('Special Help Table'!$A433,"and",""))=3,LEN('Special Help Table'!$A433)-LEN(SUBSTITUTE('Special Help Table'!$A433,",",""))=1,LEN('Special Help Table'!$A433)-LEN(SUBSTITUTE('Special Help Table'!$A433," ",""))=3),'Special Help Table'!$A433)</f>
        <v xml:space="preserve"> Wayne Mack</v>
      </c>
      <c r="C433" s="4" t="s">
        <v>837</v>
      </c>
      <c r="D433" s="2"/>
      <c r="E433" s="2" t="s">
        <v>16</v>
      </c>
      <c r="F433" s="2" t="s">
        <v>33</v>
      </c>
      <c r="G433" s="2"/>
      <c r="H433" s="2"/>
      <c r="I433" s="2"/>
      <c r="J433" s="2" t="s">
        <v>49</v>
      </c>
      <c r="K433" s="3">
        <v>40034</v>
      </c>
      <c r="L433" s="2"/>
      <c r="M433" s="2"/>
      <c r="N433" s="2" t="s">
        <v>18</v>
      </c>
    </row>
    <row r="434" spans="1:14" ht="15.75" customHeight="1" x14ac:dyDescent="0.35">
      <c r="A434" s="2" t="s">
        <v>838</v>
      </c>
      <c r="B434" s="2" t="str" cm="1">
        <f t="array" ref="B434">_xlfn.IFS(AND(LEN('Special Help Table'!$A434)-(LEN(SUBSTITUTE('Special Help Table'!$A434,";","")))=0,LEN('Special Help Table'!$A434)-LEN(SUBSTITUTE('Special Help Table'!$A434,",",""))=1,LEN('Special Help Table'!$A434)-LEN(SUBSTITUTE('Special Help Table'!$A434,"and ",""))=0),MID('Special Help Table'!$A434&amp;" "&amp;'Special Help Table'!$A434,SEARCH(", ",'Special Help Table'!$A434)+1,LEN('Special Help Table'!$A434)),AND(LEN('Special Help Table'!$A434)-(LEN(SUBSTITUTE('Special Help Table'!$A434,";","")))=1,LEN('Special Help Table'!$A434)-LEN(SUBSTITUTE('Special Help Table'!$A434,"and ",""))=0),MID('Special Help Table'!$A434,SEARCH(",",'Special Help Table'!$A434)+1,(SEARCH(";",'Special Help Table'!$A434)-1)-SEARCH(",",'Special Help Table'!$A434))&amp;" "&amp;LEFT('Special Help Table'!$A434,SEARCH(",",'Special Help Table'!$A434)-1)&amp;";"&amp;RIGHT('Special Help Table'!$A434,LEN('Special Help Table'!$A434)-SEARCH(",",'Special Help Table'!$A434,SEARCH(";",'Special Help Table'!$A434)))&amp;" "&amp;MID('Special Help Table'!$A434,SEARCH("; ",'Special Help Table'!$A434)+2,SEARCH(",",'Special Help Table'!$A434,SEARCH(";",'Special Help Table'!$A434))-SEARCH(";",'Special Help Table'!$A434)-2),AND(LEN('Special Help Table'!$A434)-LEN(SUBSTITUTE('Special Help Table'!$A434,"and ",""))=0,LEN('Special Help Table'!$A434)-LEN(SUBSTITUTE('Special Help Table'!$A434,";",""))=0),'Special Help Table'!$A434,AND(LEN('Special Help Table'!$A434)-LEN(SUBSTITUTE('Special Help Table'!$A434,",","")=1),LEN('Special Help Table'!$A434)-LEN(SUBSTITUTE('Special Help Table'!$A434," ","")=20),LEN('Special Help Table'!$A434)-LEN(SUBSTITUTE('Special Help Table'!$A434," and",""))=0,LEN('Special Help Table'!$A434)-LEN(SUBSTITUTE('Special Help Table'!$A434,",","",FIND(" ",'Special Help Table'!$A434)+1))=0),RIGHT('Special Help Table'!$A434,LEN('Special Help Table'!$A434)-FIND(", ",'Special Help Table'!$A434))&amp;" "&amp;LEFT('Special Help Table'!$A434,FIND(",",'Special Help Table'!$A434)-1),AND(LEN('Special Help Table'!$A434)-LEN(SUBSTITUTE('Special Help Table'!$A434,"editor",""))=6,LEN('Special Help Table'!$A434)-LEN(SUBSTITUTE('Special Help Table'!$A434,"(",""))=0,LEN('Special Help Table'!$A434)-LEN(SUBSTITUTE('Special Help Table'!$A434,"and",""))=3,LEN('Special Help Table'!$A434)-LEN(SUBSTITUTE('Special Help Table'!$A434,",",""))=1,LEN('Special Help Table'!$A434)-LEN(SUBSTITUTE('Special Help Table'!$A434," ",""))=3),'Special Help Table'!$A434)</f>
        <v xml:space="preserve"> Carine Mackenzie</v>
      </c>
      <c r="C434" s="4" t="s">
        <v>839</v>
      </c>
      <c r="D434" s="2"/>
      <c r="E434" s="2" t="s">
        <v>16</v>
      </c>
      <c r="F434" s="2" t="s">
        <v>72</v>
      </c>
      <c r="G434" s="2"/>
      <c r="H434" s="2"/>
      <c r="I434" s="2"/>
      <c r="J434" s="2"/>
      <c r="K434" s="3"/>
      <c r="L434" s="2"/>
      <c r="M434" s="2"/>
      <c r="N434" s="2" t="s">
        <v>18</v>
      </c>
    </row>
    <row r="435" spans="1:14" ht="15.75" customHeight="1" x14ac:dyDescent="0.35">
      <c r="A435" s="2" t="s">
        <v>840</v>
      </c>
      <c r="B435" s="2" t="str" cm="1">
        <f t="array" ref="B435">_xlfn.IFS(AND(LEN('Special Help Table'!$A435)-(LEN(SUBSTITUTE('Special Help Table'!$A435,";","")))=0,LEN('Special Help Table'!$A435)-LEN(SUBSTITUTE('Special Help Table'!$A435,",",""))=1,LEN('Special Help Table'!$A435)-LEN(SUBSTITUTE('Special Help Table'!$A435,"and ",""))=0),MID('Special Help Table'!$A435&amp;" "&amp;'Special Help Table'!$A435,SEARCH(", ",'Special Help Table'!$A435)+1,LEN('Special Help Table'!$A435)),AND(LEN('Special Help Table'!$A435)-(LEN(SUBSTITUTE('Special Help Table'!$A435,";","")))=1,LEN('Special Help Table'!$A435)-LEN(SUBSTITUTE('Special Help Table'!$A435,"and ",""))=0),MID('Special Help Table'!$A435,SEARCH(",",'Special Help Table'!$A435)+1,(SEARCH(";",'Special Help Table'!$A435)-1)-SEARCH(",",'Special Help Table'!$A435))&amp;" "&amp;LEFT('Special Help Table'!$A435,SEARCH(",",'Special Help Table'!$A435)-1)&amp;";"&amp;RIGHT('Special Help Table'!$A435,LEN('Special Help Table'!$A435)-SEARCH(",",'Special Help Table'!$A435,SEARCH(";",'Special Help Table'!$A435)))&amp;" "&amp;MID('Special Help Table'!$A435,SEARCH("; ",'Special Help Table'!$A435)+2,SEARCH(",",'Special Help Table'!$A435,SEARCH(";",'Special Help Table'!$A435))-SEARCH(";",'Special Help Table'!$A435)-2),AND(LEN('Special Help Table'!$A435)-LEN(SUBSTITUTE('Special Help Table'!$A435,"and ",""))=0,LEN('Special Help Table'!$A435)-LEN(SUBSTITUTE('Special Help Table'!$A435,";",""))=0),'Special Help Table'!$A435,AND(LEN('Special Help Table'!$A435)-LEN(SUBSTITUTE('Special Help Table'!$A435,",","")=1),LEN('Special Help Table'!$A435)-LEN(SUBSTITUTE('Special Help Table'!$A435," ","")=20),LEN('Special Help Table'!$A435)-LEN(SUBSTITUTE('Special Help Table'!$A435," and",""))=0,LEN('Special Help Table'!$A435)-LEN(SUBSTITUTE('Special Help Table'!$A435,",","",FIND(" ",'Special Help Table'!$A435)+1))=0),RIGHT('Special Help Table'!$A435,LEN('Special Help Table'!$A435)-FIND(", ",'Special Help Table'!$A435))&amp;" "&amp;LEFT('Special Help Table'!$A435,FIND(",",'Special Help Table'!$A435)-1),AND(LEN('Special Help Table'!$A435)-LEN(SUBSTITUTE('Special Help Table'!$A435,"editor",""))=6,LEN('Special Help Table'!$A435)-LEN(SUBSTITUTE('Special Help Table'!$A435,"(",""))=0,LEN('Special Help Table'!$A435)-LEN(SUBSTITUTE('Special Help Table'!$A435,"and",""))=3,LEN('Special Help Table'!$A435)-LEN(SUBSTITUTE('Special Help Table'!$A435,",",""))=1,LEN('Special Help Table'!$A435)-LEN(SUBSTITUTE('Special Help Table'!$A435," ",""))=3),'Special Help Table'!$A435)</f>
        <v xml:space="preserve"> Catherine Mackenzie</v>
      </c>
      <c r="C435" s="4" t="s">
        <v>841</v>
      </c>
      <c r="D435" s="2"/>
      <c r="E435" s="2" t="s">
        <v>16</v>
      </c>
      <c r="F435" s="2" t="s">
        <v>72</v>
      </c>
      <c r="G435" s="2"/>
      <c r="H435" s="2"/>
      <c r="I435" s="2"/>
      <c r="J435" s="2"/>
      <c r="K435" s="3">
        <v>43095</v>
      </c>
      <c r="L435" s="2"/>
      <c r="M435" s="2"/>
      <c r="N435" s="2" t="s">
        <v>18</v>
      </c>
    </row>
    <row r="436" spans="1:14" ht="15.75" customHeight="1" x14ac:dyDescent="0.35">
      <c r="A436" s="2" t="s">
        <v>840</v>
      </c>
      <c r="B436" s="2" t="str" cm="1">
        <f t="array" ref="B436">_xlfn.IFS(AND(LEN('Special Help Table'!$A436)-(LEN(SUBSTITUTE('Special Help Table'!$A436,";","")))=0,LEN('Special Help Table'!$A436)-LEN(SUBSTITUTE('Special Help Table'!$A436,",",""))=1,LEN('Special Help Table'!$A436)-LEN(SUBSTITUTE('Special Help Table'!$A436,"and ",""))=0),MID('Special Help Table'!$A436&amp;" "&amp;'Special Help Table'!$A436,SEARCH(", ",'Special Help Table'!$A436)+1,LEN('Special Help Table'!$A436)),AND(LEN('Special Help Table'!$A436)-(LEN(SUBSTITUTE('Special Help Table'!$A436,";","")))=1,LEN('Special Help Table'!$A436)-LEN(SUBSTITUTE('Special Help Table'!$A436,"and ",""))=0),MID('Special Help Table'!$A436,SEARCH(",",'Special Help Table'!$A436)+1,(SEARCH(";",'Special Help Table'!$A436)-1)-SEARCH(",",'Special Help Table'!$A436))&amp;" "&amp;LEFT('Special Help Table'!$A436,SEARCH(",",'Special Help Table'!$A436)-1)&amp;";"&amp;RIGHT('Special Help Table'!$A436,LEN('Special Help Table'!$A436)-SEARCH(",",'Special Help Table'!$A436,SEARCH(";",'Special Help Table'!$A436)))&amp;" "&amp;MID('Special Help Table'!$A436,SEARCH("; ",'Special Help Table'!$A436)+2,SEARCH(",",'Special Help Table'!$A436,SEARCH(";",'Special Help Table'!$A436))-SEARCH(";",'Special Help Table'!$A436)-2),AND(LEN('Special Help Table'!$A436)-LEN(SUBSTITUTE('Special Help Table'!$A436,"and ",""))=0,LEN('Special Help Table'!$A436)-LEN(SUBSTITUTE('Special Help Table'!$A436,";",""))=0),'Special Help Table'!$A436,AND(LEN('Special Help Table'!$A436)-LEN(SUBSTITUTE('Special Help Table'!$A436,",","")=1),LEN('Special Help Table'!$A436)-LEN(SUBSTITUTE('Special Help Table'!$A436," ","")=20),LEN('Special Help Table'!$A436)-LEN(SUBSTITUTE('Special Help Table'!$A436," and",""))=0,LEN('Special Help Table'!$A436)-LEN(SUBSTITUTE('Special Help Table'!$A436,",","",FIND(" ",'Special Help Table'!$A436)+1))=0),RIGHT('Special Help Table'!$A436,LEN('Special Help Table'!$A436)-FIND(", ",'Special Help Table'!$A436))&amp;" "&amp;LEFT('Special Help Table'!$A436,FIND(",",'Special Help Table'!$A436)-1),AND(LEN('Special Help Table'!$A436)-LEN(SUBSTITUTE('Special Help Table'!$A436,"editor",""))=6,LEN('Special Help Table'!$A436)-LEN(SUBSTITUTE('Special Help Table'!$A436,"(",""))=0,LEN('Special Help Table'!$A436)-LEN(SUBSTITUTE('Special Help Table'!$A436,"and",""))=3,LEN('Special Help Table'!$A436)-LEN(SUBSTITUTE('Special Help Table'!$A436,",",""))=1,LEN('Special Help Table'!$A436)-LEN(SUBSTITUTE('Special Help Table'!$A436," ",""))=3),'Special Help Table'!$A436)</f>
        <v xml:space="preserve"> Catherine Mackenzie</v>
      </c>
      <c r="C436" s="4" t="s">
        <v>842</v>
      </c>
      <c r="D436" s="2"/>
      <c r="E436" s="2" t="s">
        <v>16</v>
      </c>
      <c r="F436" s="2" t="s">
        <v>72</v>
      </c>
      <c r="G436" s="2"/>
      <c r="H436" s="2"/>
      <c r="I436" s="2"/>
      <c r="J436" s="2"/>
      <c r="K436" s="3">
        <v>42476</v>
      </c>
      <c r="L436" s="2"/>
      <c r="M436" s="2"/>
      <c r="N436" s="2" t="s">
        <v>18</v>
      </c>
    </row>
    <row r="437" spans="1:14" ht="15.75" customHeight="1" x14ac:dyDescent="0.35">
      <c r="A437" s="2" t="s">
        <v>840</v>
      </c>
      <c r="B437" s="2" t="str" cm="1">
        <f t="array" ref="B437">_xlfn.IFS(AND(LEN('Special Help Table'!$A437)-(LEN(SUBSTITUTE('Special Help Table'!$A437,";","")))=0,LEN('Special Help Table'!$A437)-LEN(SUBSTITUTE('Special Help Table'!$A437,",",""))=1,LEN('Special Help Table'!$A437)-LEN(SUBSTITUTE('Special Help Table'!$A437,"and ",""))=0),MID('Special Help Table'!$A437&amp;" "&amp;'Special Help Table'!$A437,SEARCH(", ",'Special Help Table'!$A437)+1,LEN('Special Help Table'!$A437)),AND(LEN('Special Help Table'!$A437)-(LEN(SUBSTITUTE('Special Help Table'!$A437,";","")))=1,LEN('Special Help Table'!$A437)-LEN(SUBSTITUTE('Special Help Table'!$A437,"and ",""))=0),MID('Special Help Table'!$A437,SEARCH(",",'Special Help Table'!$A437)+1,(SEARCH(";",'Special Help Table'!$A437)-1)-SEARCH(",",'Special Help Table'!$A437))&amp;" "&amp;LEFT('Special Help Table'!$A437,SEARCH(",",'Special Help Table'!$A437)-1)&amp;";"&amp;RIGHT('Special Help Table'!$A437,LEN('Special Help Table'!$A437)-SEARCH(",",'Special Help Table'!$A437,SEARCH(";",'Special Help Table'!$A437)))&amp;" "&amp;MID('Special Help Table'!$A437,SEARCH("; ",'Special Help Table'!$A437)+2,SEARCH(",",'Special Help Table'!$A437,SEARCH(";",'Special Help Table'!$A437))-SEARCH(";",'Special Help Table'!$A437)-2),AND(LEN('Special Help Table'!$A437)-LEN(SUBSTITUTE('Special Help Table'!$A437,"and ",""))=0,LEN('Special Help Table'!$A437)-LEN(SUBSTITUTE('Special Help Table'!$A437,";",""))=0),'Special Help Table'!$A437,AND(LEN('Special Help Table'!$A437)-LEN(SUBSTITUTE('Special Help Table'!$A437,",","")=1),LEN('Special Help Table'!$A437)-LEN(SUBSTITUTE('Special Help Table'!$A437," ","")=20),LEN('Special Help Table'!$A437)-LEN(SUBSTITUTE('Special Help Table'!$A437," and",""))=0,LEN('Special Help Table'!$A437)-LEN(SUBSTITUTE('Special Help Table'!$A437,",","",FIND(" ",'Special Help Table'!$A437)+1))=0),RIGHT('Special Help Table'!$A437,LEN('Special Help Table'!$A437)-FIND(", ",'Special Help Table'!$A437))&amp;" "&amp;LEFT('Special Help Table'!$A437,FIND(",",'Special Help Table'!$A437)-1),AND(LEN('Special Help Table'!$A437)-LEN(SUBSTITUTE('Special Help Table'!$A437,"editor",""))=6,LEN('Special Help Table'!$A437)-LEN(SUBSTITUTE('Special Help Table'!$A437,"(",""))=0,LEN('Special Help Table'!$A437)-LEN(SUBSTITUTE('Special Help Table'!$A437,"and",""))=3,LEN('Special Help Table'!$A437)-LEN(SUBSTITUTE('Special Help Table'!$A437,",",""))=1,LEN('Special Help Table'!$A437)-LEN(SUBSTITUTE('Special Help Table'!$A437," ",""))=3),'Special Help Table'!$A437)</f>
        <v xml:space="preserve"> Catherine Mackenzie</v>
      </c>
      <c r="C437" s="4" t="s">
        <v>843</v>
      </c>
      <c r="D437" s="2"/>
      <c r="E437" s="2" t="s">
        <v>16</v>
      </c>
      <c r="F437" s="2" t="s">
        <v>72</v>
      </c>
      <c r="G437" s="2"/>
      <c r="H437" s="2"/>
      <c r="I437" s="2"/>
      <c r="J437" s="2"/>
      <c r="K437" s="3">
        <v>42476</v>
      </c>
      <c r="L437" s="2"/>
      <c r="M437" s="2"/>
      <c r="N437" s="2" t="s">
        <v>18</v>
      </c>
    </row>
    <row r="438" spans="1:14" ht="15.75" customHeight="1" x14ac:dyDescent="0.35">
      <c r="A438" s="2" t="s">
        <v>840</v>
      </c>
      <c r="B438" s="2" t="str" cm="1">
        <f t="array" ref="B438">_xlfn.IFS(AND(LEN('Special Help Table'!$A438)-(LEN(SUBSTITUTE('Special Help Table'!$A438,";","")))=0,LEN('Special Help Table'!$A438)-LEN(SUBSTITUTE('Special Help Table'!$A438,",",""))=1,LEN('Special Help Table'!$A438)-LEN(SUBSTITUTE('Special Help Table'!$A438,"and ",""))=0),MID('Special Help Table'!$A438&amp;" "&amp;'Special Help Table'!$A438,SEARCH(", ",'Special Help Table'!$A438)+1,LEN('Special Help Table'!$A438)),AND(LEN('Special Help Table'!$A438)-(LEN(SUBSTITUTE('Special Help Table'!$A438,";","")))=1,LEN('Special Help Table'!$A438)-LEN(SUBSTITUTE('Special Help Table'!$A438,"and ",""))=0),MID('Special Help Table'!$A438,SEARCH(",",'Special Help Table'!$A438)+1,(SEARCH(";",'Special Help Table'!$A438)-1)-SEARCH(",",'Special Help Table'!$A438))&amp;" "&amp;LEFT('Special Help Table'!$A438,SEARCH(",",'Special Help Table'!$A438)-1)&amp;";"&amp;RIGHT('Special Help Table'!$A438,LEN('Special Help Table'!$A438)-SEARCH(",",'Special Help Table'!$A438,SEARCH(";",'Special Help Table'!$A438)))&amp;" "&amp;MID('Special Help Table'!$A438,SEARCH("; ",'Special Help Table'!$A438)+2,SEARCH(",",'Special Help Table'!$A438,SEARCH(";",'Special Help Table'!$A438))-SEARCH(";",'Special Help Table'!$A438)-2),AND(LEN('Special Help Table'!$A438)-LEN(SUBSTITUTE('Special Help Table'!$A438,"and ",""))=0,LEN('Special Help Table'!$A438)-LEN(SUBSTITUTE('Special Help Table'!$A438,";",""))=0),'Special Help Table'!$A438,AND(LEN('Special Help Table'!$A438)-LEN(SUBSTITUTE('Special Help Table'!$A438,",","")=1),LEN('Special Help Table'!$A438)-LEN(SUBSTITUTE('Special Help Table'!$A438," ","")=20),LEN('Special Help Table'!$A438)-LEN(SUBSTITUTE('Special Help Table'!$A438," and",""))=0,LEN('Special Help Table'!$A438)-LEN(SUBSTITUTE('Special Help Table'!$A438,",","",FIND(" ",'Special Help Table'!$A438)+1))=0),RIGHT('Special Help Table'!$A438,LEN('Special Help Table'!$A438)-FIND(", ",'Special Help Table'!$A438))&amp;" "&amp;LEFT('Special Help Table'!$A438,FIND(",",'Special Help Table'!$A438)-1),AND(LEN('Special Help Table'!$A438)-LEN(SUBSTITUTE('Special Help Table'!$A438,"editor",""))=6,LEN('Special Help Table'!$A438)-LEN(SUBSTITUTE('Special Help Table'!$A438,"(",""))=0,LEN('Special Help Table'!$A438)-LEN(SUBSTITUTE('Special Help Table'!$A438,"and",""))=3,LEN('Special Help Table'!$A438)-LEN(SUBSTITUTE('Special Help Table'!$A438,",",""))=1,LEN('Special Help Table'!$A438)-LEN(SUBSTITUTE('Special Help Table'!$A438," ",""))=3),'Special Help Table'!$A438)</f>
        <v xml:space="preserve"> Catherine Mackenzie</v>
      </c>
      <c r="C438" s="4" t="s">
        <v>844</v>
      </c>
      <c r="D438" s="2"/>
      <c r="E438" s="2" t="s">
        <v>16</v>
      </c>
      <c r="F438" s="2" t="s">
        <v>72</v>
      </c>
      <c r="G438" s="2"/>
      <c r="H438" s="2"/>
      <c r="I438" s="2"/>
      <c r="J438" s="2"/>
      <c r="K438" s="3">
        <v>43095</v>
      </c>
      <c r="L438" s="2"/>
      <c r="M438" s="2"/>
      <c r="N438" s="2" t="s">
        <v>18</v>
      </c>
    </row>
    <row r="439" spans="1:14" ht="15.75" customHeight="1" x14ac:dyDescent="0.35">
      <c r="A439" s="2" t="s">
        <v>840</v>
      </c>
      <c r="B439" s="2" t="str" cm="1">
        <f t="array" ref="B439">_xlfn.IFS(AND(LEN('Special Help Table'!$A439)-(LEN(SUBSTITUTE('Special Help Table'!$A439,";","")))=0,LEN('Special Help Table'!$A439)-LEN(SUBSTITUTE('Special Help Table'!$A439,",",""))=1,LEN('Special Help Table'!$A439)-LEN(SUBSTITUTE('Special Help Table'!$A439,"and ",""))=0),MID('Special Help Table'!$A439&amp;" "&amp;'Special Help Table'!$A439,SEARCH(", ",'Special Help Table'!$A439)+1,LEN('Special Help Table'!$A439)),AND(LEN('Special Help Table'!$A439)-(LEN(SUBSTITUTE('Special Help Table'!$A439,";","")))=1,LEN('Special Help Table'!$A439)-LEN(SUBSTITUTE('Special Help Table'!$A439,"and ",""))=0),MID('Special Help Table'!$A439,SEARCH(",",'Special Help Table'!$A439)+1,(SEARCH(";",'Special Help Table'!$A439)-1)-SEARCH(",",'Special Help Table'!$A439))&amp;" "&amp;LEFT('Special Help Table'!$A439,SEARCH(",",'Special Help Table'!$A439)-1)&amp;";"&amp;RIGHT('Special Help Table'!$A439,LEN('Special Help Table'!$A439)-SEARCH(",",'Special Help Table'!$A439,SEARCH(";",'Special Help Table'!$A439)))&amp;" "&amp;MID('Special Help Table'!$A439,SEARCH("; ",'Special Help Table'!$A439)+2,SEARCH(",",'Special Help Table'!$A439,SEARCH(";",'Special Help Table'!$A439))-SEARCH(";",'Special Help Table'!$A439)-2),AND(LEN('Special Help Table'!$A439)-LEN(SUBSTITUTE('Special Help Table'!$A439,"and ",""))=0,LEN('Special Help Table'!$A439)-LEN(SUBSTITUTE('Special Help Table'!$A439,";",""))=0),'Special Help Table'!$A439,AND(LEN('Special Help Table'!$A439)-LEN(SUBSTITUTE('Special Help Table'!$A439,",","")=1),LEN('Special Help Table'!$A439)-LEN(SUBSTITUTE('Special Help Table'!$A439," ","")=20),LEN('Special Help Table'!$A439)-LEN(SUBSTITUTE('Special Help Table'!$A439," and",""))=0,LEN('Special Help Table'!$A439)-LEN(SUBSTITUTE('Special Help Table'!$A439,",","",FIND(" ",'Special Help Table'!$A439)+1))=0),RIGHT('Special Help Table'!$A439,LEN('Special Help Table'!$A439)-FIND(", ",'Special Help Table'!$A439))&amp;" "&amp;LEFT('Special Help Table'!$A439,FIND(",",'Special Help Table'!$A439)-1),AND(LEN('Special Help Table'!$A439)-LEN(SUBSTITUTE('Special Help Table'!$A439,"editor",""))=6,LEN('Special Help Table'!$A439)-LEN(SUBSTITUTE('Special Help Table'!$A439,"(",""))=0,LEN('Special Help Table'!$A439)-LEN(SUBSTITUTE('Special Help Table'!$A439,"and",""))=3,LEN('Special Help Table'!$A439)-LEN(SUBSTITUTE('Special Help Table'!$A439,",",""))=1,LEN('Special Help Table'!$A439)-LEN(SUBSTITUTE('Special Help Table'!$A439," ",""))=3),'Special Help Table'!$A439)</f>
        <v xml:space="preserve"> Catherine Mackenzie</v>
      </c>
      <c r="C439" s="4" t="s">
        <v>845</v>
      </c>
      <c r="D439" s="2"/>
      <c r="E439" s="2" t="s">
        <v>16</v>
      </c>
      <c r="F439" s="2" t="s">
        <v>72</v>
      </c>
      <c r="G439" s="2"/>
      <c r="H439" s="2"/>
      <c r="I439" s="2"/>
      <c r="J439" s="2"/>
      <c r="K439" s="3">
        <v>41773</v>
      </c>
      <c r="L439" s="2"/>
      <c r="M439" s="2"/>
      <c r="N439" s="2" t="s">
        <v>18</v>
      </c>
    </row>
    <row r="440" spans="1:14" ht="15.75" customHeight="1" x14ac:dyDescent="0.35">
      <c r="A440" s="2" t="s">
        <v>840</v>
      </c>
      <c r="B440" s="2" t="str" cm="1">
        <f t="array" ref="B440">_xlfn.IFS(AND(LEN('Special Help Table'!$A440)-(LEN(SUBSTITUTE('Special Help Table'!$A440,";","")))=0,LEN('Special Help Table'!$A440)-LEN(SUBSTITUTE('Special Help Table'!$A440,",",""))=1,LEN('Special Help Table'!$A440)-LEN(SUBSTITUTE('Special Help Table'!$A440,"and ",""))=0),MID('Special Help Table'!$A440&amp;" "&amp;'Special Help Table'!$A440,SEARCH(", ",'Special Help Table'!$A440)+1,LEN('Special Help Table'!$A440)),AND(LEN('Special Help Table'!$A440)-(LEN(SUBSTITUTE('Special Help Table'!$A440,";","")))=1,LEN('Special Help Table'!$A440)-LEN(SUBSTITUTE('Special Help Table'!$A440,"and ",""))=0),MID('Special Help Table'!$A440,SEARCH(",",'Special Help Table'!$A440)+1,(SEARCH(";",'Special Help Table'!$A440)-1)-SEARCH(",",'Special Help Table'!$A440))&amp;" "&amp;LEFT('Special Help Table'!$A440,SEARCH(",",'Special Help Table'!$A440)-1)&amp;";"&amp;RIGHT('Special Help Table'!$A440,LEN('Special Help Table'!$A440)-SEARCH(",",'Special Help Table'!$A440,SEARCH(";",'Special Help Table'!$A440)))&amp;" "&amp;MID('Special Help Table'!$A440,SEARCH("; ",'Special Help Table'!$A440)+2,SEARCH(",",'Special Help Table'!$A440,SEARCH(";",'Special Help Table'!$A440))-SEARCH(";",'Special Help Table'!$A440)-2),AND(LEN('Special Help Table'!$A440)-LEN(SUBSTITUTE('Special Help Table'!$A440,"and ",""))=0,LEN('Special Help Table'!$A440)-LEN(SUBSTITUTE('Special Help Table'!$A440,";",""))=0),'Special Help Table'!$A440,AND(LEN('Special Help Table'!$A440)-LEN(SUBSTITUTE('Special Help Table'!$A440,",","")=1),LEN('Special Help Table'!$A440)-LEN(SUBSTITUTE('Special Help Table'!$A440," ","")=20),LEN('Special Help Table'!$A440)-LEN(SUBSTITUTE('Special Help Table'!$A440," and",""))=0,LEN('Special Help Table'!$A440)-LEN(SUBSTITUTE('Special Help Table'!$A440,",","",FIND(" ",'Special Help Table'!$A440)+1))=0),RIGHT('Special Help Table'!$A440,LEN('Special Help Table'!$A440)-FIND(", ",'Special Help Table'!$A440))&amp;" "&amp;LEFT('Special Help Table'!$A440,FIND(",",'Special Help Table'!$A440)-1),AND(LEN('Special Help Table'!$A440)-LEN(SUBSTITUTE('Special Help Table'!$A440,"editor",""))=6,LEN('Special Help Table'!$A440)-LEN(SUBSTITUTE('Special Help Table'!$A440,"(",""))=0,LEN('Special Help Table'!$A440)-LEN(SUBSTITUTE('Special Help Table'!$A440,"and",""))=3,LEN('Special Help Table'!$A440)-LEN(SUBSTITUTE('Special Help Table'!$A440,",",""))=1,LEN('Special Help Table'!$A440)-LEN(SUBSTITUTE('Special Help Table'!$A440," ",""))=3),'Special Help Table'!$A440)</f>
        <v xml:space="preserve"> Catherine Mackenzie</v>
      </c>
      <c r="C440" s="4" t="s">
        <v>846</v>
      </c>
      <c r="D440" s="2"/>
      <c r="E440" s="2" t="s">
        <v>16</v>
      </c>
      <c r="F440" s="2" t="s">
        <v>72</v>
      </c>
      <c r="G440" s="2"/>
      <c r="H440" s="2"/>
      <c r="I440" s="2"/>
      <c r="J440" s="2"/>
      <c r="K440" s="3"/>
      <c r="L440" s="2"/>
      <c r="M440" s="2"/>
      <c r="N440" s="2" t="s">
        <v>18</v>
      </c>
    </row>
    <row r="441" spans="1:14" ht="15.75" customHeight="1" x14ac:dyDescent="0.35">
      <c r="A441" s="2" t="s">
        <v>840</v>
      </c>
      <c r="B441" s="2" t="str" cm="1">
        <f t="array" ref="B441">_xlfn.IFS(AND(LEN('Special Help Table'!$A441)-(LEN(SUBSTITUTE('Special Help Table'!$A441,";","")))=0,LEN('Special Help Table'!$A441)-LEN(SUBSTITUTE('Special Help Table'!$A441,",",""))=1,LEN('Special Help Table'!$A441)-LEN(SUBSTITUTE('Special Help Table'!$A441,"and ",""))=0),MID('Special Help Table'!$A441&amp;" "&amp;'Special Help Table'!$A441,SEARCH(", ",'Special Help Table'!$A441)+1,LEN('Special Help Table'!$A441)),AND(LEN('Special Help Table'!$A441)-(LEN(SUBSTITUTE('Special Help Table'!$A441,";","")))=1,LEN('Special Help Table'!$A441)-LEN(SUBSTITUTE('Special Help Table'!$A441,"and ",""))=0),MID('Special Help Table'!$A441,SEARCH(",",'Special Help Table'!$A441)+1,(SEARCH(";",'Special Help Table'!$A441)-1)-SEARCH(",",'Special Help Table'!$A441))&amp;" "&amp;LEFT('Special Help Table'!$A441,SEARCH(",",'Special Help Table'!$A441)-1)&amp;";"&amp;RIGHT('Special Help Table'!$A441,LEN('Special Help Table'!$A441)-SEARCH(",",'Special Help Table'!$A441,SEARCH(";",'Special Help Table'!$A441)))&amp;" "&amp;MID('Special Help Table'!$A441,SEARCH("; ",'Special Help Table'!$A441)+2,SEARCH(",",'Special Help Table'!$A441,SEARCH(";",'Special Help Table'!$A441))-SEARCH(";",'Special Help Table'!$A441)-2),AND(LEN('Special Help Table'!$A441)-LEN(SUBSTITUTE('Special Help Table'!$A441,"and ",""))=0,LEN('Special Help Table'!$A441)-LEN(SUBSTITUTE('Special Help Table'!$A441,";",""))=0),'Special Help Table'!$A441,AND(LEN('Special Help Table'!$A441)-LEN(SUBSTITUTE('Special Help Table'!$A441,",","")=1),LEN('Special Help Table'!$A441)-LEN(SUBSTITUTE('Special Help Table'!$A441," ","")=20),LEN('Special Help Table'!$A441)-LEN(SUBSTITUTE('Special Help Table'!$A441," and",""))=0,LEN('Special Help Table'!$A441)-LEN(SUBSTITUTE('Special Help Table'!$A441,",","",FIND(" ",'Special Help Table'!$A441)+1))=0),RIGHT('Special Help Table'!$A441,LEN('Special Help Table'!$A441)-FIND(", ",'Special Help Table'!$A441))&amp;" "&amp;LEFT('Special Help Table'!$A441,FIND(",",'Special Help Table'!$A441)-1),AND(LEN('Special Help Table'!$A441)-LEN(SUBSTITUTE('Special Help Table'!$A441,"editor",""))=6,LEN('Special Help Table'!$A441)-LEN(SUBSTITUTE('Special Help Table'!$A441,"(",""))=0,LEN('Special Help Table'!$A441)-LEN(SUBSTITUTE('Special Help Table'!$A441,"and",""))=3,LEN('Special Help Table'!$A441)-LEN(SUBSTITUTE('Special Help Table'!$A441,",",""))=1,LEN('Special Help Table'!$A441)-LEN(SUBSTITUTE('Special Help Table'!$A441," ",""))=3),'Special Help Table'!$A441)</f>
        <v xml:space="preserve"> Catherine Mackenzie</v>
      </c>
      <c r="C441" s="4" t="s">
        <v>847</v>
      </c>
      <c r="D441" s="2"/>
      <c r="E441" s="2" t="s">
        <v>16</v>
      </c>
      <c r="F441" s="2" t="s">
        <v>72</v>
      </c>
      <c r="G441" s="2"/>
      <c r="H441" s="2"/>
      <c r="I441" s="2"/>
      <c r="J441" s="2"/>
      <c r="K441" s="3">
        <v>42476</v>
      </c>
      <c r="L441" s="2"/>
      <c r="M441" s="2"/>
      <c r="N441" s="2" t="s">
        <v>18</v>
      </c>
    </row>
    <row r="442" spans="1:14" ht="15.75" customHeight="1" x14ac:dyDescent="0.35">
      <c r="A442" s="2" t="s">
        <v>840</v>
      </c>
      <c r="B442" s="2" t="str" cm="1">
        <f t="array" ref="B442">_xlfn.IFS(AND(LEN('Special Help Table'!$A442)-(LEN(SUBSTITUTE('Special Help Table'!$A442,";","")))=0,LEN('Special Help Table'!$A442)-LEN(SUBSTITUTE('Special Help Table'!$A442,",",""))=1,LEN('Special Help Table'!$A442)-LEN(SUBSTITUTE('Special Help Table'!$A442,"and ",""))=0),MID('Special Help Table'!$A442&amp;" "&amp;'Special Help Table'!$A442,SEARCH(", ",'Special Help Table'!$A442)+1,LEN('Special Help Table'!$A442)),AND(LEN('Special Help Table'!$A442)-(LEN(SUBSTITUTE('Special Help Table'!$A442,";","")))=1,LEN('Special Help Table'!$A442)-LEN(SUBSTITUTE('Special Help Table'!$A442,"and ",""))=0),MID('Special Help Table'!$A442,SEARCH(",",'Special Help Table'!$A442)+1,(SEARCH(";",'Special Help Table'!$A442)-1)-SEARCH(",",'Special Help Table'!$A442))&amp;" "&amp;LEFT('Special Help Table'!$A442,SEARCH(",",'Special Help Table'!$A442)-1)&amp;";"&amp;RIGHT('Special Help Table'!$A442,LEN('Special Help Table'!$A442)-SEARCH(",",'Special Help Table'!$A442,SEARCH(";",'Special Help Table'!$A442)))&amp;" "&amp;MID('Special Help Table'!$A442,SEARCH("; ",'Special Help Table'!$A442)+2,SEARCH(",",'Special Help Table'!$A442,SEARCH(";",'Special Help Table'!$A442))-SEARCH(";",'Special Help Table'!$A442)-2),AND(LEN('Special Help Table'!$A442)-LEN(SUBSTITUTE('Special Help Table'!$A442,"and ",""))=0,LEN('Special Help Table'!$A442)-LEN(SUBSTITUTE('Special Help Table'!$A442,";",""))=0),'Special Help Table'!$A442,AND(LEN('Special Help Table'!$A442)-LEN(SUBSTITUTE('Special Help Table'!$A442,",","")=1),LEN('Special Help Table'!$A442)-LEN(SUBSTITUTE('Special Help Table'!$A442," ","")=20),LEN('Special Help Table'!$A442)-LEN(SUBSTITUTE('Special Help Table'!$A442," and",""))=0,LEN('Special Help Table'!$A442)-LEN(SUBSTITUTE('Special Help Table'!$A442,",","",FIND(" ",'Special Help Table'!$A442)+1))=0),RIGHT('Special Help Table'!$A442,LEN('Special Help Table'!$A442)-FIND(", ",'Special Help Table'!$A442))&amp;" "&amp;LEFT('Special Help Table'!$A442,FIND(",",'Special Help Table'!$A442)-1),AND(LEN('Special Help Table'!$A442)-LEN(SUBSTITUTE('Special Help Table'!$A442,"editor",""))=6,LEN('Special Help Table'!$A442)-LEN(SUBSTITUTE('Special Help Table'!$A442,"(",""))=0,LEN('Special Help Table'!$A442)-LEN(SUBSTITUTE('Special Help Table'!$A442,"and",""))=3,LEN('Special Help Table'!$A442)-LEN(SUBSTITUTE('Special Help Table'!$A442,",",""))=1,LEN('Special Help Table'!$A442)-LEN(SUBSTITUTE('Special Help Table'!$A442," ",""))=3),'Special Help Table'!$A442)</f>
        <v xml:space="preserve"> Catherine Mackenzie</v>
      </c>
      <c r="C442" s="4" t="s">
        <v>848</v>
      </c>
      <c r="D442" s="2"/>
      <c r="E442" s="2" t="s">
        <v>16</v>
      </c>
      <c r="F442" s="2" t="s">
        <v>72</v>
      </c>
      <c r="G442" s="2"/>
      <c r="H442" s="2"/>
      <c r="I442" s="2"/>
      <c r="J442" s="2"/>
      <c r="K442" s="3">
        <v>43095</v>
      </c>
      <c r="L442" s="2"/>
      <c r="M442" s="2"/>
      <c r="N442" s="2" t="s">
        <v>18</v>
      </c>
    </row>
    <row r="443" spans="1:14" ht="15.75" customHeight="1" x14ac:dyDescent="0.35">
      <c r="A443" s="2" t="s">
        <v>840</v>
      </c>
      <c r="B443" s="2" t="str" cm="1">
        <f t="array" ref="B443">_xlfn.IFS(AND(LEN('Special Help Table'!$A443)-(LEN(SUBSTITUTE('Special Help Table'!$A443,";","")))=0,LEN('Special Help Table'!$A443)-LEN(SUBSTITUTE('Special Help Table'!$A443,",",""))=1,LEN('Special Help Table'!$A443)-LEN(SUBSTITUTE('Special Help Table'!$A443,"and ",""))=0),MID('Special Help Table'!$A443&amp;" "&amp;'Special Help Table'!$A443,SEARCH(", ",'Special Help Table'!$A443)+1,LEN('Special Help Table'!$A443)),AND(LEN('Special Help Table'!$A443)-(LEN(SUBSTITUTE('Special Help Table'!$A443,";","")))=1,LEN('Special Help Table'!$A443)-LEN(SUBSTITUTE('Special Help Table'!$A443,"and ",""))=0),MID('Special Help Table'!$A443,SEARCH(",",'Special Help Table'!$A443)+1,(SEARCH(";",'Special Help Table'!$A443)-1)-SEARCH(",",'Special Help Table'!$A443))&amp;" "&amp;LEFT('Special Help Table'!$A443,SEARCH(",",'Special Help Table'!$A443)-1)&amp;";"&amp;RIGHT('Special Help Table'!$A443,LEN('Special Help Table'!$A443)-SEARCH(",",'Special Help Table'!$A443,SEARCH(";",'Special Help Table'!$A443)))&amp;" "&amp;MID('Special Help Table'!$A443,SEARCH("; ",'Special Help Table'!$A443)+2,SEARCH(",",'Special Help Table'!$A443,SEARCH(";",'Special Help Table'!$A443))-SEARCH(";",'Special Help Table'!$A443)-2),AND(LEN('Special Help Table'!$A443)-LEN(SUBSTITUTE('Special Help Table'!$A443,"and ",""))=0,LEN('Special Help Table'!$A443)-LEN(SUBSTITUTE('Special Help Table'!$A443,";",""))=0),'Special Help Table'!$A443,AND(LEN('Special Help Table'!$A443)-LEN(SUBSTITUTE('Special Help Table'!$A443,",","")=1),LEN('Special Help Table'!$A443)-LEN(SUBSTITUTE('Special Help Table'!$A443," ","")=20),LEN('Special Help Table'!$A443)-LEN(SUBSTITUTE('Special Help Table'!$A443," and",""))=0,LEN('Special Help Table'!$A443)-LEN(SUBSTITUTE('Special Help Table'!$A443,",","",FIND(" ",'Special Help Table'!$A443)+1))=0),RIGHT('Special Help Table'!$A443,LEN('Special Help Table'!$A443)-FIND(", ",'Special Help Table'!$A443))&amp;" "&amp;LEFT('Special Help Table'!$A443,FIND(",",'Special Help Table'!$A443)-1),AND(LEN('Special Help Table'!$A443)-LEN(SUBSTITUTE('Special Help Table'!$A443,"editor",""))=6,LEN('Special Help Table'!$A443)-LEN(SUBSTITUTE('Special Help Table'!$A443,"(",""))=0,LEN('Special Help Table'!$A443)-LEN(SUBSTITUTE('Special Help Table'!$A443,"and",""))=3,LEN('Special Help Table'!$A443)-LEN(SUBSTITUTE('Special Help Table'!$A443,",",""))=1,LEN('Special Help Table'!$A443)-LEN(SUBSTITUTE('Special Help Table'!$A443," ",""))=3),'Special Help Table'!$A443)</f>
        <v xml:space="preserve"> Catherine Mackenzie</v>
      </c>
      <c r="C443" s="4" t="s">
        <v>849</v>
      </c>
      <c r="D443" s="2"/>
      <c r="E443" s="2" t="s">
        <v>16</v>
      </c>
      <c r="F443" s="2" t="s">
        <v>72</v>
      </c>
      <c r="G443" s="2"/>
      <c r="H443" s="2"/>
      <c r="I443" s="2"/>
      <c r="J443" s="2"/>
      <c r="K443" s="3">
        <v>41773</v>
      </c>
      <c r="L443" s="2"/>
      <c r="M443" s="2"/>
      <c r="N443" s="2" t="s">
        <v>18</v>
      </c>
    </row>
    <row r="444" spans="1:14" ht="15.75" customHeight="1" x14ac:dyDescent="0.35">
      <c r="A444" s="2" t="s">
        <v>840</v>
      </c>
      <c r="B444" s="2" t="str" cm="1">
        <f t="array" ref="B444">_xlfn.IFS(AND(LEN('Special Help Table'!$A444)-(LEN(SUBSTITUTE('Special Help Table'!$A444,";","")))=0,LEN('Special Help Table'!$A444)-LEN(SUBSTITUTE('Special Help Table'!$A444,",",""))=1,LEN('Special Help Table'!$A444)-LEN(SUBSTITUTE('Special Help Table'!$A444,"and ",""))=0),MID('Special Help Table'!$A444&amp;" "&amp;'Special Help Table'!$A444,SEARCH(", ",'Special Help Table'!$A444)+1,LEN('Special Help Table'!$A444)),AND(LEN('Special Help Table'!$A444)-(LEN(SUBSTITUTE('Special Help Table'!$A444,";","")))=1,LEN('Special Help Table'!$A444)-LEN(SUBSTITUTE('Special Help Table'!$A444,"and ",""))=0),MID('Special Help Table'!$A444,SEARCH(",",'Special Help Table'!$A444)+1,(SEARCH(";",'Special Help Table'!$A444)-1)-SEARCH(",",'Special Help Table'!$A444))&amp;" "&amp;LEFT('Special Help Table'!$A444,SEARCH(",",'Special Help Table'!$A444)-1)&amp;";"&amp;RIGHT('Special Help Table'!$A444,LEN('Special Help Table'!$A444)-SEARCH(",",'Special Help Table'!$A444,SEARCH(";",'Special Help Table'!$A444)))&amp;" "&amp;MID('Special Help Table'!$A444,SEARCH("; ",'Special Help Table'!$A444)+2,SEARCH(",",'Special Help Table'!$A444,SEARCH(";",'Special Help Table'!$A444))-SEARCH(";",'Special Help Table'!$A444)-2),AND(LEN('Special Help Table'!$A444)-LEN(SUBSTITUTE('Special Help Table'!$A444,"and ",""))=0,LEN('Special Help Table'!$A444)-LEN(SUBSTITUTE('Special Help Table'!$A444,";",""))=0),'Special Help Table'!$A444,AND(LEN('Special Help Table'!$A444)-LEN(SUBSTITUTE('Special Help Table'!$A444,",","")=1),LEN('Special Help Table'!$A444)-LEN(SUBSTITUTE('Special Help Table'!$A444," ","")=20),LEN('Special Help Table'!$A444)-LEN(SUBSTITUTE('Special Help Table'!$A444," and",""))=0,LEN('Special Help Table'!$A444)-LEN(SUBSTITUTE('Special Help Table'!$A444,",","",FIND(" ",'Special Help Table'!$A444)+1))=0),RIGHT('Special Help Table'!$A444,LEN('Special Help Table'!$A444)-FIND(", ",'Special Help Table'!$A444))&amp;" "&amp;LEFT('Special Help Table'!$A444,FIND(",",'Special Help Table'!$A444)-1),AND(LEN('Special Help Table'!$A444)-LEN(SUBSTITUTE('Special Help Table'!$A444,"editor",""))=6,LEN('Special Help Table'!$A444)-LEN(SUBSTITUTE('Special Help Table'!$A444,"(",""))=0,LEN('Special Help Table'!$A444)-LEN(SUBSTITUTE('Special Help Table'!$A444,"and",""))=3,LEN('Special Help Table'!$A444)-LEN(SUBSTITUTE('Special Help Table'!$A444,",",""))=1,LEN('Special Help Table'!$A444)-LEN(SUBSTITUTE('Special Help Table'!$A444," ",""))=3),'Special Help Table'!$A444)</f>
        <v xml:space="preserve"> Catherine Mackenzie</v>
      </c>
      <c r="C444" s="4" t="s">
        <v>850</v>
      </c>
      <c r="D444" s="2"/>
      <c r="E444" s="2" t="s">
        <v>16</v>
      </c>
      <c r="F444" s="2" t="s">
        <v>72</v>
      </c>
      <c r="G444" s="2"/>
      <c r="H444" s="2"/>
      <c r="I444" s="2"/>
      <c r="J444" s="2"/>
      <c r="K444" s="3">
        <v>41773</v>
      </c>
      <c r="L444" s="2"/>
      <c r="M444" s="2"/>
      <c r="N444" s="2" t="s">
        <v>18</v>
      </c>
    </row>
    <row r="445" spans="1:14" ht="15.75" customHeight="1" x14ac:dyDescent="0.35">
      <c r="A445" s="2" t="s">
        <v>840</v>
      </c>
      <c r="B445" s="2" t="str" cm="1">
        <f t="array" ref="B445">_xlfn.IFS(AND(LEN('Special Help Table'!$A445)-(LEN(SUBSTITUTE('Special Help Table'!$A445,";","")))=0,LEN('Special Help Table'!$A445)-LEN(SUBSTITUTE('Special Help Table'!$A445,",",""))=1,LEN('Special Help Table'!$A445)-LEN(SUBSTITUTE('Special Help Table'!$A445,"and ",""))=0),MID('Special Help Table'!$A445&amp;" "&amp;'Special Help Table'!$A445,SEARCH(", ",'Special Help Table'!$A445)+1,LEN('Special Help Table'!$A445)),AND(LEN('Special Help Table'!$A445)-(LEN(SUBSTITUTE('Special Help Table'!$A445,";","")))=1,LEN('Special Help Table'!$A445)-LEN(SUBSTITUTE('Special Help Table'!$A445,"and ",""))=0),MID('Special Help Table'!$A445,SEARCH(",",'Special Help Table'!$A445)+1,(SEARCH(";",'Special Help Table'!$A445)-1)-SEARCH(",",'Special Help Table'!$A445))&amp;" "&amp;LEFT('Special Help Table'!$A445,SEARCH(",",'Special Help Table'!$A445)-1)&amp;";"&amp;RIGHT('Special Help Table'!$A445,LEN('Special Help Table'!$A445)-SEARCH(",",'Special Help Table'!$A445,SEARCH(";",'Special Help Table'!$A445)))&amp;" "&amp;MID('Special Help Table'!$A445,SEARCH("; ",'Special Help Table'!$A445)+2,SEARCH(",",'Special Help Table'!$A445,SEARCH(";",'Special Help Table'!$A445))-SEARCH(";",'Special Help Table'!$A445)-2),AND(LEN('Special Help Table'!$A445)-LEN(SUBSTITUTE('Special Help Table'!$A445,"and ",""))=0,LEN('Special Help Table'!$A445)-LEN(SUBSTITUTE('Special Help Table'!$A445,";",""))=0),'Special Help Table'!$A445,AND(LEN('Special Help Table'!$A445)-LEN(SUBSTITUTE('Special Help Table'!$A445,",","")=1),LEN('Special Help Table'!$A445)-LEN(SUBSTITUTE('Special Help Table'!$A445," ","")=20),LEN('Special Help Table'!$A445)-LEN(SUBSTITUTE('Special Help Table'!$A445," and",""))=0,LEN('Special Help Table'!$A445)-LEN(SUBSTITUTE('Special Help Table'!$A445,",","",FIND(" ",'Special Help Table'!$A445)+1))=0),RIGHT('Special Help Table'!$A445,LEN('Special Help Table'!$A445)-FIND(", ",'Special Help Table'!$A445))&amp;" "&amp;LEFT('Special Help Table'!$A445,FIND(",",'Special Help Table'!$A445)-1),AND(LEN('Special Help Table'!$A445)-LEN(SUBSTITUTE('Special Help Table'!$A445,"editor",""))=6,LEN('Special Help Table'!$A445)-LEN(SUBSTITUTE('Special Help Table'!$A445,"(",""))=0,LEN('Special Help Table'!$A445)-LEN(SUBSTITUTE('Special Help Table'!$A445,"and",""))=3,LEN('Special Help Table'!$A445)-LEN(SUBSTITUTE('Special Help Table'!$A445,",",""))=1,LEN('Special Help Table'!$A445)-LEN(SUBSTITUTE('Special Help Table'!$A445," ",""))=3),'Special Help Table'!$A445)</f>
        <v xml:space="preserve"> Catherine Mackenzie</v>
      </c>
      <c r="C445" s="4" t="s">
        <v>851</v>
      </c>
      <c r="D445" s="2"/>
      <c r="E445" s="2" t="s">
        <v>16</v>
      </c>
      <c r="F445" s="2" t="s">
        <v>72</v>
      </c>
      <c r="G445" s="2"/>
      <c r="H445" s="2"/>
      <c r="I445" s="2"/>
      <c r="J445" s="2"/>
      <c r="K445" s="3">
        <v>42476</v>
      </c>
      <c r="L445" s="2"/>
      <c r="M445" s="2"/>
      <c r="N445" s="2" t="s">
        <v>18</v>
      </c>
    </row>
    <row r="446" spans="1:14" ht="15.75" customHeight="1" x14ac:dyDescent="0.35">
      <c r="A446" s="2" t="s">
        <v>840</v>
      </c>
      <c r="B446" s="2" t="str" cm="1">
        <f t="array" ref="B446">_xlfn.IFS(AND(LEN('Special Help Table'!$A446)-(LEN(SUBSTITUTE('Special Help Table'!$A446,";","")))=0,LEN('Special Help Table'!$A446)-LEN(SUBSTITUTE('Special Help Table'!$A446,",",""))=1,LEN('Special Help Table'!$A446)-LEN(SUBSTITUTE('Special Help Table'!$A446,"and ",""))=0),MID('Special Help Table'!$A446&amp;" "&amp;'Special Help Table'!$A446,SEARCH(", ",'Special Help Table'!$A446)+1,LEN('Special Help Table'!$A446)),AND(LEN('Special Help Table'!$A446)-(LEN(SUBSTITUTE('Special Help Table'!$A446,";","")))=1,LEN('Special Help Table'!$A446)-LEN(SUBSTITUTE('Special Help Table'!$A446,"and ",""))=0),MID('Special Help Table'!$A446,SEARCH(",",'Special Help Table'!$A446)+1,(SEARCH(";",'Special Help Table'!$A446)-1)-SEARCH(",",'Special Help Table'!$A446))&amp;" "&amp;LEFT('Special Help Table'!$A446,SEARCH(",",'Special Help Table'!$A446)-1)&amp;";"&amp;RIGHT('Special Help Table'!$A446,LEN('Special Help Table'!$A446)-SEARCH(",",'Special Help Table'!$A446,SEARCH(";",'Special Help Table'!$A446)))&amp;" "&amp;MID('Special Help Table'!$A446,SEARCH("; ",'Special Help Table'!$A446)+2,SEARCH(",",'Special Help Table'!$A446,SEARCH(";",'Special Help Table'!$A446))-SEARCH(";",'Special Help Table'!$A446)-2),AND(LEN('Special Help Table'!$A446)-LEN(SUBSTITUTE('Special Help Table'!$A446,"and ",""))=0,LEN('Special Help Table'!$A446)-LEN(SUBSTITUTE('Special Help Table'!$A446,";",""))=0),'Special Help Table'!$A446,AND(LEN('Special Help Table'!$A446)-LEN(SUBSTITUTE('Special Help Table'!$A446,",","")=1),LEN('Special Help Table'!$A446)-LEN(SUBSTITUTE('Special Help Table'!$A446," ","")=20),LEN('Special Help Table'!$A446)-LEN(SUBSTITUTE('Special Help Table'!$A446," and",""))=0,LEN('Special Help Table'!$A446)-LEN(SUBSTITUTE('Special Help Table'!$A446,",","",FIND(" ",'Special Help Table'!$A446)+1))=0),RIGHT('Special Help Table'!$A446,LEN('Special Help Table'!$A446)-FIND(", ",'Special Help Table'!$A446))&amp;" "&amp;LEFT('Special Help Table'!$A446,FIND(",",'Special Help Table'!$A446)-1),AND(LEN('Special Help Table'!$A446)-LEN(SUBSTITUTE('Special Help Table'!$A446,"editor",""))=6,LEN('Special Help Table'!$A446)-LEN(SUBSTITUTE('Special Help Table'!$A446,"(",""))=0,LEN('Special Help Table'!$A446)-LEN(SUBSTITUTE('Special Help Table'!$A446,"and",""))=3,LEN('Special Help Table'!$A446)-LEN(SUBSTITUTE('Special Help Table'!$A446,",",""))=1,LEN('Special Help Table'!$A446)-LEN(SUBSTITUTE('Special Help Table'!$A446," ",""))=3),'Special Help Table'!$A446)</f>
        <v xml:space="preserve"> Catherine Mackenzie</v>
      </c>
      <c r="C446" s="4" t="s">
        <v>852</v>
      </c>
      <c r="D446" s="2"/>
      <c r="E446" s="2" t="s">
        <v>16</v>
      </c>
      <c r="F446" s="2" t="s">
        <v>72</v>
      </c>
      <c r="G446" s="2"/>
      <c r="H446" s="2"/>
      <c r="I446" s="2"/>
      <c r="J446" s="2"/>
      <c r="K446" s="3">
        <v>43095</v>
      </c>
      <c r="L446" s="2"/>
      <c r="M446" s="2"/>
      <c r="N446" s="2" t="s">
        <v>18</v>
      </c>
    </row>
    <row r="447" spans="1:14" ht="15.75" customHeight="1" x14ac:dyDescent="0.35">
      <c r="A447" s="2" t="s">
        <v>840</v>
      </c>
      <c r="B447" s="2" t="str" cm="1">
        <f t="array" ref="B447">_xlfn.IFS(AND(LEN('Special Help Table'!$A447)-(LEN(SUBSTITUTE('Special Help Table'!$A447,";","")))=0,LEN('Special Help Table'!$A447)-LEN(SUBSTITUTE('Special Help Table'!$A447,",",""))=1,LEN('Special Help Table'!$A447)-LEN(SUBSTITUTE('Special Help Table'!$A447,"and ",""))=0),MID('Special Help Table'!$A447&amp;" "&amp;'Special Help Table'!$A447,SEARCH(", ",'Special Help Table'!$A447)+1,LEN('Special Help Table'!$A447)),AND(LEN('Special Help Table'!$A447)-(LEN(SUBSTITUTE('Special Help Table'!$A447,";","")))=1,LEN('Special Help Table'!$A447)-LEN(SUBSTITUTE('Special Help Table'!$A447,"and ",""))=0),MID('Special Help Table'!$A447,SEARCH(",",'Special Help Table'!$A447)+1,(SEARCH(";",'Special Help Table'!$A447)-1)-SEARCH(",",'Special Help Table'!$A447))&amp;" "&amp;LEFT('Special Help Table'!$A447,SEARCH(",",'Special Help Table'!$A447)-1)&amp;";"&amp;RIGHT('Special Help Table'!$A447,LEN('Special Help Table'!$A447)-SEARCH(",",'Special Help Table'!$A447,SEARCH(";",'Special Help Table'!$A447)))&amp;" "&amp;MID('Special Help Table'!$A447,SEARCH("; ",'Special Help Table'!$A447)+2,SEARCH(",",'Special Help Table'!$A447,SEARCH(";",'Special Help Table'!$A447))-SEARCH(";",'Special Help Table'!$A447)-2),AND(LEN('Special Help Table'!$A447)-LEN(SUBSTITUTE('Special Help Table'!$A447,"and ",""))=0,LEN('Special Help Table'!$A447)-LEN(SUBSTITUTE('Special Help Table'!$A447,";",""))=0),'Special Help Table'!$A447,AND(LEN('Special Help Table'!$A447)-LEN(SUBSTITUTE('Special Help Table'!$A447,",","")=1),LEN('Special Help Table'!$A447)-LEN(SUBSTITUTE('Special Help Table'!$A447," ","")=20),LEN('Special Help Table'!$A447)-LEN(SUBSTITUTE('Special Help Table'!$A447," and",""))=0,LEN('Special Help Table'!$A447)-LEN(SUBSTITUTE('Special Help Table'!$A447,",","",FIND(" ",'Special Help Table'!$A447)+1))=0),RIGHT('Special Help Table'!$A447,LEN('Special Help Table'!$A447)-FIND(", ",'Special Help Table'!$A447))&amp;" "&amp;LEFT('Special Help Table'!$A447,FIND(",",'Special Help Table'!$A447)-1),AND(LEN('Special Help Table'!$A447)-LEN(SUBSTITUTE('Special Help Table'!$A447,"editor",""))=6,LEN('Special Help Table'!$A447)-LEN(SUBSTITUTE('Special Help Table'!$A447,"(",""))=0,LEN('Special Help Table'!$A447)-LEN(SUBSTITUTE('Special Help Table'!$A447,"and",""))=3,LEN('Special Help Table'!$A447)-LEN(SUBSTITUTE('Special Help Table'!$A447,",",""))=1,LEN('Special Help Table'!$A447)-LEN(SUBSTITUTE('Special Help Table'!$A447," ",""))=3),'Special Help Table'!$A447)</f>
        <v xml:space="preserve"> Catherine Mackenzie</v>
      </c>
      <c r="C447" s="4" t="s">
        <v>853</v>
      </c>
      <c r="D447" s="2"/>
      <c r="E447" s="2" t="s">
        <v>16</v>
      </c>
      <c r="F447" s="2" t="s">
        <v>854</v>
      </c>
      <c r="G447" s="2"/>
      <c r="H447" s="2"/>
      <c r="I447" s="2"/>
      <c r="J447" s="2"/>
      <c r="K447" s="3">
        <v>42476</v>
      </c>
      <c r="L447" s="2"/>
      <c r="M447" s="2"/>
      <c r="N447" s="2" t="s">
        <v>18</v>
      </c>
    </row>
    <row r="448" spans="1:14" ht="15.75" customHeight="1" x14ac:dyDescent="0.35">
      <c r="A448" s="2" t="s">
        <v>840</v>
      </c>
      <c r="B448" s="2" t="str" cm="1">
        <f t="array" ref="B448">_xlfn.IFS(AND(LEN('Special Help Table'!$A448)-(LEN(SUBSTITUTE('Special Help Table'!$A448,";","")))=0,LEN('Special Help Table'!$A448)-LEN(SUBSTITUTE('Special Help Table'!$A448,",",""))=1,LEN('Special Help Table'!$A448)-LEN(SUBSTITUTE('Special Help Table'!$A448,"and ",""))=0),MID('Special Help Table'!$A448&amp;" "&amp;'Special Help Table'!$A448,SEARCH(", ",'Special Help Table'!$A448)+1,LEN('Special Help Table'!$A448)),AND(LEN('Special Help Table'!$A448)-(LEN(SUBSTITUTE('Special Help Table'!$A448,";","")))=1,LEN('Special Help Table'!$A448)-LEN(SUBSTITUTE('Special Help Table'!$A448,"and ",""))=0),MID('Special Help Table'!$A448,SEARCH(",",'Special Help Table'!$A448)+1,(SEARCH(";",'Special Help Table'!$A448)-1)-SEARCH(",",'Special Help Table'!$A448))&amp;" "&amp;LEFT('Special Help Table'!$A448,SEARCH(",",'Special Help Table'!$A448)-1)&amp;";"&amp;RIGHT('Special Help Table'!$A448,LEN('Special Help Table'!$A448)-SEARCH(",",'Special Help Table'!$A448,SEARCH(";",'Special Help Table'!$A448)))&amp;" "&amp;MID('Special Help Table'!$A448,SEARCH("; ",'Special Help Table'!$A448)+2,SEARCH(",",'Special Help Table'!$A448,SEARCH(";",'Special Help Table'!$A448))-SEARCH(";",'Special Help Table'!$A448)-2),AND(LEN('Special Help Table'!$A448)-LEN(SUBSTITUTE('Special Help Table'!$A448,"and ",""))=0,LEN('Special Help Table'!$A448)-LEN(SUBSTITUTE('Special Help Table'!$A448,";",""))=0),'Special Help Table'!$A448,AND(LEN('Special Help Table'!$A448)-LEN(SUBSTITUTE('Special Help Table'!$A448,",","")=1),LEN('Special Help Table'!$A448)-LEN(SUBSTITUTE('Special Help Table'!$A448," ","")=20),LEN('Special Help Table'!$A448)-LEN(SUBSTITUTE('Special Help Table'!$A448," and",""))=0,LEN('Special Help Table'!$A448)-LEN(SUBSTITUTE('Special Help Table'!$A448,",","",FIND(" ",'Special Help Table'!$A448)+1))=0),RIGHT('Special Help Table'!$A448,LEN('Special Help Table'!$A448)-FIND(", ",'Special Help Table'!$A448))&amp;" "&amp;LEFT('Special Help Table'!$A448,FIND(",",'Special Help Table'!$A448)-1),AND(LEN('Special Help Table'!$A448)-LEN(SUBSTITUTE('Special Help Table'!$A448,"editor",""))=6,LEN('Special Help Table'!$A448)-LEN(SUBSTITUTE('Special Help Table'!$A448,"(",""))=0,LEN('Special Help Table'!$A448)-LEN(SUBSTITUTE('Special Help Table'!$A448,"and",""))=3,LEN('Special Help Table'!$A448)-LEN(SUBSTITUTE('Special Help Table'!$A448,",",""))=1,LEN('Special Help Table'!$A448)-LEN(SUBSTITUTE('Special Help Table'!$A448," ",""))=3),'Special Help Table'!$A448)</f>
        <v xml:space="preserve"> Catherine Mackenzie</v>
      </c>
      <c r="C448" s="4" t="s">
        <v>855</v>
      </c>
      <c r="D448" s="2" t="s">
        <v>856</v>
      </c>
      <c r="E448" s="2" t="s">
        <v>16</v>
      </c>
      <c r="F448" s="2" t="s">
        <v>72</v>
      </c>
      <c r="G448" s="2"/>
      <c r="H448" s="2"/>
      <c r="I448" s="2"/>
      <c r="J448" s="2"/>
      <c r="K448" s="3">
        <v>41773</v>
      </c>
      <c r="L448" s="2"/>
      <c r="M448" s="2"/>
      <c r="N448" s="2" t="s">
        <v>18</v>
      </c>
    </row>
    <row r="449" spans="1:14" ht="15.75" customHeight="1" x14ac:dyDescent="0.35">
      <c r="A449" s="2" t="s">
        <v>857</v>
      </c>
      <c r="B449" s="2" t="str" cm="1">
        <f t="array" ref="B449">_xlfn.IFS(AND(LEN('Special Help Table'!$A449)-(LEN(SUBSTITUTE('Special Help Table'!$A449,";","")))=0,LEN('Special Help Table'!$A449)-LEN(SUBSTITUTE('Special Help Table'!$A449,",",""))=1,LEN('Special Help Table'!$A449)-LEN(SUBSTITUTE('Special Help Table'!$A449,"and ",""))=0),MID('Special Help Table'!$A449&amp;" "&amp;'Special Help Table'!$A449,SEARCH(", ",'Special Help Table'!$A449)+1,LEN('Special Help Table'!$A449)),AND(LEN('Special Help Table'!$A449)-(LEN(SUBSTITUTE('Special Help Table'!$A449,";","")))=1,LEN('Special Help Table'!$A449)-LEN(SUBSTITUTE('Special Help Table'!$A449,"and ",""))=0),MID('Special Help Table'!$A449,SEARCH(",",'Special Help Table'!$A449)+1,(SEARCH(";",'Special Help Table'!$A449)-1)-SEARCH(",",'Special Help Table'!$A449))&amp;" "&amp;LEFT('Special Help Table'!$A449,SEARCH(",",'Special Help Table'!$A449)-1)&amp;";"&amp;RIGHT('Special Help Table'!$A449,LEN('Special Help Table'!$A449)-SEARCH(",",'Special Help Table'!$A449,SEARCH(";",'Special Help Table'!$A449)))&amp;" "&amp;MID('Special Help Table'!$A449,SEARCH("; ",'Special Help Table'!$A449)+2,SEARCH(",",'Special Help Table'!$A449,SEARCH(";",'Special Help Table'!$A449))-SEARCH(";",'Special Help Table'!$A449)-2),AND(LEN('Special Help Table'!$A449)-LEN(SUBSTITUTE('Special Help Table'!$A449,"and ",""))=0,LEN('Special Help Table'!$A449)-LEN(SUBSTITUTE('Special Help Table'!$A449,";",""))=0),'Special Help Table'!$A449,AND(LEN('Special Help Table'!$A449)-LEN(SUBSTITUTE('Special Help Table'!$A449,",","")=1),LEN('Special Help Table'!$A449)-LEN(SUBSTITUTE('Special Help Table'!$A449," ","")=20),LEN('Special Help Table'!$A449)-LEN(SUBSTITUTE('Special Help Table'!$A449," and",""))=0,LEN('Special Help Table'!$A449)-LEN(SUBSTITUTE('Special Help Table'!$A449,",","",FIND(" ",'Special Help Table'!$A449)+1))=0),RIGHT('Special Help Table'!$A449,LEN('Special Help Table'!$A449)-FIND(", ",'Special Help Table'!$A449))&amp;" "&amp;LEFT('Special Help Table'!$A449,FIND(",",'Special Help Table'!$A449)-1),AND(LEN('Special Help Table'!$A449)-LEN(SUBSTITUTE('Special Help Table'!$A449,"editor",""))=6,LEN('Special Help Table'!$A449)-LEN(SUBSTITUTE('Special Help Table'!$A449,"(",""))=0,LEN('Special Help Table'!$A449)-LEN(SUBSTITUTE('Special Help Table'!$A449,"and",""))=3,LEN('Special Help Table'!$A449)-LEN(SUBSTITUTE('Special Help Table'!$A449,",",""))=1,LEN('Special Help Table'!$A449)-LEN(SUBSTITUTE('Special Help Table'!$A449," ",""))=3),'Special Help Table'!$A449)</f>
        <v xml:space="preserve"> C.J. Mahaney</v>
      </c>
      <c r="C449" s="4" t="s">
        <v>858</v>
      </c>
      <c r="D449" s="2"/>
      <c r="E449" s="2" t="s">
        <v>16</v>
      </c>
      <c r="F449" s="2" t="s">
        <v>36</v>
      </c>
      <c r="G449" s="2"/>
      <c r="H449" s="2"/>
      <c r="I449" s="2"/>
      <c r="J449" s="2"/>
      <c r="K449" s="3">
        <v>40052</v>
      </c>
      <c r="L449" s="2"/>
      <c r="M449" s="2"/>
      <c r="N449" s="2" t="s">
        <v>18</v>
      </c>
    </row>
    <row r="450" spans="1:14" ht="15.75" customHeight="1" x14ac:dyDescent="0.35">
      <c r="A450" s="2" t="s">
        <v>857</v>
      </c>
      <c r="B450" s="2" t="str" cm="1">
        <f t="array" ref="B450">_xlfn.IFS(AND(LEN('Special Help Table'!$A450)-(LEN(SUBSTITUTE('Special Help Table'!$A450,";","")))=0,LEN('Special Help Table'!$A450)-LEN(SUBSTITUTE('Special Help Table'!$A450,",",""))=1,LEN('Special Help Table'!$A450)-LEN(SUBSTITUTE('Special Help Table'!$A450,"and ",""))=0),MID('Special Help Table'!$A450&amp;" "&amp;'Special Help Table'!$A450,SEARCH(", ",'Special Help Table'!$A450)+1,LEN('Special Help Table'!$A450)),AND(LEN('Special Help Table'!$A450)-(LEN(SUBSTITUTE('Special Help Table'!$A450,";","")))=1,LEN('Special Help Table'!$A450)-LEN(SUBSTITUTE('Special Help Table'!$A450,"and ",""))=0),MID('Special Help Table'!$A450,SEARCH(",",'Special Help Table'!$A450)+1,(SEARCH(";",'Special Help Table'!$A450)-1)-SEARCH(",",'Special Help Table'!$A450))&amp;" "&amp;LEFT('Special Help Table'!$A450,SEARCH(",",'Special Help Table'!$A450)-1)&amp;";"&amp;RIGHT('Special Help Table'!$A450,LEN('Special Help Table'!$A450)-SEARCH(",",'Special Help Table'!$A450,SEARCH(";",'Special Help Table'!$A450)))&amp;" "&amp;MID('Special Help Table'!$A450,SEARCH("; ",'Special Help Table'!$A450)+2,SEARCH(",",'Special Help Table'!$A450,SEARCH(";",'Special Help Table'!$A450))-SEARCH(";",'Special Help Table'!$A450)-2),AND(LEN('Special Help Table'!$A450)-LEN(SUBSTITUTE('Special Help Table'!$A450,"and ",""))=0,LEN('Special Help Table'!$A450)-LEN(SUBSTITUTE('Special Help Table'!$A450,";",""))=0),'Special Help Table'!$A450,AND(LEN('Special Help Table'!$A450)-LEN(SUBSTITUTE('Special Help Table'!$A450,",","")=1),LEN('Special Help Table'!$A450)-LEN(SUBSTITUTE('Special Help Table'!$A450," ","")=20),LEN('Special Help Table'!$A450)-LEN(SUBSTITUTE('Special Help Table'!$A450," and",""))=0,LEN('Special Help Table'!$A450)-LEN(SUBSTITUTE('Special Help Table'!$A450,",","",FIND(" ",'Special Help Table'!$A450)+1))=0),RIGHT('Special Help Table'!$A450,LEN('Special Help Table'!$A450)-FIND(", ",'Special Help Table'!$A450))&amp;" "&amp;LEFT('Special Help Table'!$A450,FIND(",",'Special Help Table'!$A450)-1),AND(LEN('Special Help Table'!$A450)-LEN(SUBSTITUTE('Special Help Table'!$A450,"editor",""))=6,LEN('Special Help Table'!$A450)-LEN(SUBSTITUTE('Special Help Table'!$A450,"(",""))=0,LEN('Special Help Table'!$A450)-LEN(SUBSTITUTE('Special Help Table'!$A450,"and",""))=3,LEN('Special Help Table'!$A450)-LEN(SUBSTITUTE('Special Help Table'!$A450,",",""))=1,LEN('Special Help Table'!$A450)-LEN(SUBSTITUTE('Special Help Table'!$A450," ",""))=3),'Special Help Table'!$A450)</f>
        <v xml:space="preserve"> C.J. Mahaney</v>
      </c>
      <c r="C450" s="4" t="s">
        <v>859</v>
      </c>
      <c r="D450" s="2" t="s">
        <v>860</v>
      </c>
      <c r="E450" s="2" t="s">
        <v>16</v>
      </c>
      <c r="F450" s="2" t="s">
        <v>36</v>
      </c>
      <c r="G450" s="2"/>
      <c r="H450" s="2"/>
      <c r="I450" s="2"/>
      <c r="J450" s="2"/>
      <c r="K450" s="3">
        <v>40053</v>
      </c>
      <c r="L450" s="2"/>
      <c r="M450" s="2"/>
      <c r="N450" s="2" t="s">
        <v>18</v>
      </c>
    </row>
    <row r="451" spans="1:14" ht="15.75" customHeight="1" x14ac:dyDescent="0.35">
      <c r="A451" s="2" t="s">
        <v>861</v>
      </c>
      <c r="B451" s="2" t="str" cm="1">
        <f t="array" ref="B451">_xlfn.IFS(AND(LEN('Special Help Table'!$A451)-(LEN(SUBSTITUTE('Special Help Table'!$A451,";","")))=0,LEN('Special Help Table'!$A451)-LEN(SUBSTITUTE('Special Help Table'!$A451,",",""))=1,LEN('Special Help Table'!$A451)-LEN(SUBSTITUTE('Special Help Table'!$A451,"and ",""))=0),MID('Special Help Table'!$A451&amp;" "&amp;'Special Help Table'!$A451,SEARCH(", ",'Special Help Table'!$A451)+1,LEN('Special Help Table'!$A451)),AND(LEN('Special Help Table'!$A451)-(LEN(SUBSTITUTE('Special Help Table'!$A451,";","")))=1,LEN('Special Help Table'!$A451)-LEN(SUBSTITUTE('Special Help Table'!$A451,"and ",""))=0),MID('Special Help Table'!$A451,SEARCH(",",'Special Help Table'!$A451)+1,(SEARCH(";",'Special Help Table'!$A451)-1)-SEARCH(",",'Special Help Table'!$A451))&amp;" "&amp;LEFT('Special Help Table'!$A451,SEARCH(",",'Special Help Table'!$A451)-1)&amp;";"&amp;RIGHT('Special Help Table'!$A451,LEN('Special Help Table'!$A451)-SEARCH(",",'Special Help Table'!$A451,SEARCH(";",'Special Help Table'!$A451)))&amp;" "&amp;MID('Special Help Table'!$A451,SEARCH("; ",'Special Help Table'!$A451)+2,SEARCH(",",'Special Help Table'!$A451,SEARCH(";",'Special Help Table'!$A451))-SEARCH(";",'Special Help Table'!$A451)-2),AND(LEN('Special Help Table'!$A451)-LEN(SUBSTITUTE('Special Help Table'!$A451,"and ",""))=0,LEN('Special Help Table'!$A451)-LEN(SUBSTITUTE('Special Help Table'!$A451,";",""))=0),'Special Help Table'!$A451,AND(LEN('Special Help Table'!$A451)-LEN(SUBSTITUTE('Special Help Table'!$A451,",","")=1),LEN('Special Help Table'!$A451)-LEN(SUBSTITUTE('Special Help Table'!$A451," ","")=20),LEN('Special Help Table'!$A451)-LEN(SUBSTITUTE('Special Help Table'!$A451," and",""))=0,LEN('Special Help Table'!$A451)-LEN(SUBSTITUTE('Special Help Table'!$A451,",","",FIND(" ",'Special Help Table'!$A451)+1))=0),RIGHT('Special Help Table'!$A451,LEN('Special Help Table'!$A451)-FIND(", ",'Special Help Table'!$A451))&amp;" "&amp;LEFT('Special Help Table'!$A451,FIND(",",'Special Help Table'!$A451)-1),AND(LEN('Special Help Table'!$A451)-LEN(SUBSTITUTE('Special Help Table'!$A451,"editor",""))=6,LEN('Special Help Table'!$A451)-LEN(SUBSTITUTE('Special Help Table'!$A451,"(",""))=0,LEN('Special Help Table'!$A451)-LEN(SUBSTITUTE('Special Help Table'!$A451,"and",""))=3,LEN('Special Help Table'!$A451)-LEN(SUBSTITUTE('Special Help Table'!$A451,",",""))=1,LEN('Special Help Table'!$A451)-LEN(SUBSTITUTE('Special Help Table'!$A451," ",""))=3),'Special Help Table'!$A451)</f>
        <v xml:space="preserve"> Carolyn Mahaney</v>
      </c>
      <c r="C451" s="4" t="s">
        <v>862</v>
      </c>
      <c r="D451" s="2"/>
      <c r="E451" s="2" t="s">
        <v>16</v>
      </c>
      <c r="F451" s="2" t="s">
        <v>36</v>
      </c>
      <c r="G451" s="2"/>
      <c r="H451" s="2"/>
      <c r="I451" s="2"/>
      <c r="J451" s="2" t="s">
        <v>230</v>
      </c>
      <c r="K451" s="3">
        <v>40054</v>
      </c>
      <c r="L451" s="2"/>
      <c r="M451" s="2"/>
      <c r="N451" s="2" t="s">
        <v>18</v>
      </c>
    </row>
    <row r="452" spans="1:14" ht="15.75" customHeight="1" x14ac:dyDescent="0.35">
      <c r="A452" s="2" t="s">
        <v>861</v>
      </c>
      <c r="B452" s="2" t="str" cm="1">
        <f t="array" ref="B452">_xlfn.IFS(AND(LEN('Special Help Table'!$A452)-(LEN(SUBSTITUTE('Special Help Table'!$A452,";","")))=0,LEN('Special Help Table'!$A452)-LEN(SUBSTITUTE('Special Help Table'!$A452,",",""))=1,LEN('Special Help Table'!$A452)-LEN(SUBSTITUTE('Special Help Table'!$A452,"and ",""))=0),MID('Special Help Table'!$A452&amp;" "&amp;'Special Help Table'!$A452,SEARCH(", ",'Special Help Table'!$A452)+1,LEN('Special Help Table'!$A452)),AND(LEN('Special Help Table'!$A452)-(LEN(SUBSTITUTE('Special Help Table'!$A452,";","")))=1,LEN('Special Help Table'!$A452)-LEN(SUBSTITUTE('Special Help Table'!$A452,"and ",""))=0),MID('Special Help Table'!$A452,SEARCH(",",'Special Help Table'!$A452)+1,(SEARCH(";",'Special Help Table'!$A452)-1)-SEARCH(",",'Special Help Table'!$A452))&amp;" "&amp;LEFT('Special Help Table'!$A452,SEARCH(",",'Special Help Table'!$A452)-1)&amp;";"&amp;RIGHT('Special Help Table'!$A452,LEN('Special Help Table'!$A452)-SEARCH(",",'Special Help Table'!$A452,SEARCH(";",'Special Help Table'!$A452)))&amp;" "&amp;MID('Special Help Table'!$A452,SEARCH("; ",'Special Help Table'!$A452)+2,SEARCH(",",'Special Help Table'!$A452,SEARCH(";",'Special Help Table'!$A452))-SEARCH(";",'Special Help Table'!$A452)-2),AND(LEN('Special Help Table'!$A452)-LEN(SUBSTITUTE('Special Help Table'!$A452,"and ",""))=0,LEN('Special Help Table'!$A452)-LEN(SUBSTITUTE('Special Help Table'!$A452,";",""))=0),'Special Help Table'!$A452,AND(LEN('Special Help Table'!$A452)-LEN(SUBSTITUTE('Special Help Table'!$A452,",","")=1),LEN('Special Help Table'!$A452)-LEN(SUBSTITUTE('Special Help Table'!$A452," ","")=20),LEN('Special Help Table'!$A452)-LEN(SUBSTITUTE('Special Help Table'!$A452," and",""))=0,LEN('Special Help Table'!$A452)-LEN(SUBSTITUTE('Special Help Table'!$A452,",","",FIND(" ",'Special Help Table'!$A452)+1))=0),RIGHT('Special Help Table'!$A452,LEN('Special Help Table'!$A452)-FIND(", ",'Special Help Table'!$A452))&amp;" "&amp;LEFT('Special Help Table'!$A452,FIND(",",'Special Help Table'!$A452)-1),AND(LEN('Special Help Table'!$A452)-LEN(SUBSTITUTE('Special Help Table'!$A452,"editor",""))=6,LEN('Special Help Table'!$A452)-LEN(SUBSTITUTE('Special Help Table'!$A452,"(",""))=0,LEN('Special Help Table'!$A452)-LEN(SUBSTITUTE('Special Help Table'!$A452,"and",""))=3,LEN('Special Help Table'!$A452)-LEN(SUBSTITUTE('Special Help Table'!$A452,",",""))=1,LEN('Special Help Table'!$A452)-LEN(SUBSTITUTE('Special Help Table'!$A452," ",""))=3),'Special Help Table'!$A452)</f>
        <v xml:space="preserve"> Carolyn Mahaney</v>
      </c>
      <c r="C452" s="4" t="s">
        <v>863</v>
      </c>
      <c r="D452" s="2"/>
      <c r="E452" s="2" t="s">
        <v>16</v>
      </c>
      <c r="F452" s="2" t="s">
        <v>17</v>
      </c>
      <c r="G452" s="2"/>
      <c r="H452" s="2"/>
      <c r="I452" s="2"/>
      <c r="J452" s="2" t="s">
        <v>230</v>
      </c>
      <c r="K452" s="3">
        <v>42476</v>
      </c>
      <c r="L452" s="2"/>
      <c r="M452" s="2"/>
      <c r="N452" s="2" t="s">
        <v>18</v>
      </c>
    </row>
    <row r="453" spans="1:14" ht="15.75" customHeight="1" x14ac:dyDescent="0.35">
      <c r="A453" s="2" t="s">
        <v>861</v>
      </c>
      <c r="B453" s="2" t="str" cm="1">
        <f t="array" ref="B453">_xlfn.IFS(AND(LEN('Special Help Table'!$A453)-(LEN(SUBSTITUTE('Special Help Table'!$A453,";","")))=0,LEN('Special Help Table'!$A453)-LEN(SUBSTITUTE('Special Help Table'!$A453,",",""))=1,LEN('Special Help Table'!$A453)-LEN(SUBSTITUTE('Special Help Table'!$A453,"and ",""))=0),MID('Special Help Table'!$A453&amp;" "&amp;'Special Help Table'!$A453,SEARCH(", ",'Special Help Table'!$A453)+1,LEN('Special Help Table'!$A453)),AND(LEN('Special Help Table'!$A453)-(LEN(SUBSTITUTE('Special Help Table'!$A453,";","")))=1,LEN('Special Help Table'!$A453)-LEN(SUBSTITUTE('Special Help Table'!$A453,"and ",""))=0),MID('Special Help Table'!$A453,SEARCH(",",'Special Help Table'!$A453)+1,(SEARCH(";",'Special Help Table'!$A453)-1)-SEARCH(",",'Special Help Table'!$A453))&amp;" "&amp;LEFT('Special Help Table'!$A453,SEARCH(",",'Special Help Table'!$A453)-1)&amp;";"&amp;RIGHT('Special Help Table'!$A453,LEN('Special Help Table'!$A453)-SEARCH(",",'Special Help Table'!$A453,SEARCH(";",'Special Help Table'!$A453)))&amp;" "&amp;MID('Special Help Table'!$A453,SEARCH("; ",'Special Help Table'!$A453)+2,SEARCH(",",'Special Help Table'!$A453,SEARCH(";",'Special Help Table'!$A453))-SEARCH(";",'Special Help Table'!$A453)-2),AND(LEN('Special Help Table'!$A453)-LEN(SUBSTITUTE('Special Help Table'!$A453,"and ",""))=0,LEN('Special Help Table'!$A453)-LEN(SUBSTITUTE('Special Help Table'!$A453,";",""))=0),'Special Help Table'!$A453,AND(LEN('Special Help Table'!$A453)-LEN(SUBSTITUTE('Special Help Table'!$A453,",","")=1),LEN('Special Help Table'!$A453)-LEN(SUBSTITUTE('Special Help Table'!$A453," ","")=20),LEN('Special Help Table'!$A453)-LEN(SUBSTITUTE('Special Help Table'!$A453," and",""))=0,LEN('Special Help Table'!$A453)-LEN(SUBSTITUTE('Special Help Table'!$A453,",","",FIND(" ",'Special Help Table'!$A453)+1))=0),RIGHT('Special Help Table'!$A453,LEN('Special Help Table'!$A453)-FIND(", ",'Special Help Table'!$A453))&amp;" "&amp;LEFT('Special Help Table'!$A453,FIND(",",'Special Help Table'!$A453)-1),AND(LEN('Special Help Table'!$A453)-LEN(SUBSTITUTE('Special Help Table'!$A453,"editor",""))=6,LEN('Special Help Table'!$A453)-LEN(SUBSTITUTE('Special Help Table'!$A453,"(",""))=0,LEN('Special Help Table'!$A453)-LEN(SUBSTITUTE('Special Help Table'!$A453,"and",""))=3,LEN('Special Help Table'!$A453)-LEN(SUBSTITUTE('Special Help Table'!$A453,",",""))=1,LEN('Special Help Table'!$A453)-LEN(SUBSTITUTE('Special Help Table'!$A453," ",""))=3),'Special Help Table'!$A453)</f>
        <v xml:space="preserve"> Carolyn Mahaney</v>
      </c>
      <c r="C453" s="4" t="s">
        <v>864</v>
      </c>
      <c r="D453" s="2" t="s">
        <v>865</v>
      </c>
      <c r="E453" s="2" t="s">
        <v>16</v>
      </c>
      <c r="F453" s="2" t="s">
        <v>17</v>
      </c>
      <c r="G453" s="2"/>
      <c r="H453" s="2"/>
      <c r="I453" s="2"/>
      <c r="J453" s="2" t="s">
        <v>230</v>
      </c>
      <c r="K453" s="3">
        <v>41804</v>
      </c>
      <c r="L453" s="2"/>
      <c r="M453" s="2"/>
      <c r="N453" s="2" t="s">
        <v>18</v>
      </c>
    </row>
    <row r="454" spans="1:14" ht="15.75" customHeight="1" x14ac:dyDescent="0.35">
      <c r="A454" s="2" t="s">
        <v>861</v>
      </c>
      <c r="B454" s="2" t="str" cm="1">
        <f t="array" ref="B454">_xlfn.IFS(AND(LEN('Special Help Table'!$A454)-(LEN(SUBSTITUTE('Special Help Table'!$A454,";","")))=0,LEN('Special Help Table'!$A454)-LEN(SUBSTITUTE('Special Help Table'!$A454,",",""))=1,LEN('Special Help Table'!$A454)-LEN(SUBSTITUTE('Special Help Table'!$A454,"and ",""))=0),MID('Special Help Table'!$A454&amp;" "&amp;'Special Help Table'!$A454,SEARCH(", ",'Special Help Table'!$A454)+1,LEN('Special Help Table'!$A454)),AND(LEN('Special Help Table'!$A454)-(LEN(SUBSTITUTE('Special Help Table'!$A454,";","")))=1,LEN('Special Help Table'!$A454)-LEN(SUBSTITUTE('Special Help Table'!$A454,"and ",""))=0),MID('Special Help Table'!$A454,SEARCH(",",'Special Help Table'!$A454)+1,(SEARCH(";",'Special Help Table'!$A454)-1)-SEARCH(",",'Special Help Table'!$A454))&amp;" "&amp;LEFT('Special Help Table'!$A454,SEARCH(",",'Special Help Table'!$A454)-1)&amp;";"&amp;RIGHT('Special Help Table'!$A454,LEN('Special Help Table'!$A454)-SEARCH(",",'Special Help Table'!$A454,SEARCH(";",'Special Help Table'!$A454)))&amp;" "&amp;MID('Special Help Table'!$A454,SEARCH("; ",'Special Help Table'!$A454)+2,SEARCH(",",'Special Help Table'!$A454,SEARCH(";",'Special Help Table'!$A454))-SEARCH(";",'Special Help Table'!$A454)-2),AND(LEN('Special Help Table'!$A454)-LEN(SUBSTITUTE('Special Help Table'!$A454,"and ",""))=0,LEN('Special Help Table'!$A454)-LEN(SUBSTITUTE('Special Help Table'!$A454,";",""))=0),'Special Help Table'!$A454,AND(LEN('Special Help Table'!$A454)-LEN(SUBSTITUTE('Special Help Table'!$A454,",","")=1),LEN('Special Help Table'!$A454)-LEN(SUBSTITUTE('Special Help Table'!$A454," ","")=20),LEN('Special Help Table'!$A454)-LEN(SUBSTITUTE('Special Help Table'!$A454," and",""))=0,LEN('Special Help Table'!$A454)-LEN(SUBSTITUTE('Special Help Table'!$A454,",","",FIND(" ",'Special Help Table'!$A454)+1))=0),RIGHT('Special Help Table'!$A454,LEN('Special Help Table'!$A454)-FIND(", ",'Special Help Table'!$A454))&amp;" "&amp;LEFT('Special Help Table'!$A454,FIND(",",'Special Help Table'!$A454)-1),AND(LEN('Special Help Table'!$A454)-LEN(SUBSTITUTE('Special Help Table'!$A454,"editor",""))=6,LEN('Special Help Table'!$A454)-LEN(SUBSTITUTE('Special Help Table'!$A454,"(",""))=0,LEN('Special Help Table'!$A454)-LEN(SUBSTITUTE('Special Help Table'!$A454,"and",""))=3,LEN('Special Help Table'!$A454)-LEN(SUBSTITUTE('Special Help Table'!$A454,",",""))=1,LEN('Special Help Table'!$A454)-LEN(SUBSTITUTE('Special Help Table'!$A454," ",""))=3),'Special Help Table'!$A454)</f>
        <v xml:space="preserve"> Carolyn Mahaney</v>
      </c>
      <c r="C454" s="4" t="s">
        <v>866</v>
      </c>
      <c r="D454" s="2" t="s">
        <v>867</v>
      </c>
      <c r="E454" s="2" t="s">
        <v>16</v>
      </c>
      <c r="F454" s="2" t="s">
        <v>17</v>
      </c>
      <c r="G454" s="2"/>
      <c r="H454" s="2"/>
      <c r="I454" s="2"/>
      <c r="J454" s="2" t="s">
        <v>570</v>
      </c>
      <c r="K454" s="3">
        <v>44534</v>
      </c>
      <c r="L454" s="2"/>
      <c r="M454" s="2"/>
      <c r="N454" s="2" t="s">
        <v>18</v>
      </c>
    </row>
    <row r="455" spans="1:14" ht="15.75" customHeight="1" x14ac:dyDescent="0.35">
      <c r="A455" s="2" t="s">
        <v>868</v>
      </c>
      <c r="B455" s="2" t="str" cm="1">
        <f t="array" ref="B455">_xlfn.IFS(AND(LEN('Special Help Table'!$A455)-(LEN(SUBSTITUTE('Special Help Table'!$A455,";","")))=0,LEN('Special Help Table'!$A455)-LEN(SUBSTITUTE('Special Help Table'!$A455,",",""))=1,LEN('Special Help Table'!$A455)-LEN(SUBSTITUTE('Special Help Table'!$A455,"and ",""))=0),MID('Special Help Table'!$A455&amp;" "&amp;'Special Help Table'!$A455,SEARCH(", ",'Special Help Table'!$A455)+1,LEN('Special Help Table'!$A455)),AND(LEN('Special Help Table'!$A455)-(LEN(SUBSTITUTE('Special Help Table'!$A455,";","")))=1,LEN('Special Help Table'!$A455)-LEN(SUBSTITUTE('Special Help Table'!$A455,"and ",""))=0),MID('Special Help Table'!$A455,SEARCH(",",'Special Help Table'!$A455)+1,(SEARCH(";",'Special Help Table'!$A455)-1)-SEARCH(",",'Special Help Table'!$A455))&amp;" "&amp;LEFT('Special Help Table'!$A455,SEARCH(",",'Special Help Table'!$A455)-1)&amp;";"&amp;RIGHT('Special Help Table'!$A455,LEN('Special Help Table'!$A455)-SEARCH(",",'Special Help Table'!$A455,SEARCH(";",'Special Help Table'!$A455)))&amp;" "&amp;MID('Special Help Table'!$A455,SEARCH("; ",'Special Help Table'!$A455)+2,SEARCH(",",'Special Help Table'!$A455,SEARCH(";",'Special Help Table'!$A455))-SEARCH(";",'Special Help Table'!$A455)-2),AND(LEN('Special Help Table'!$A455)-LEN(SUBSTITUTE('Special Help Table'!$A455,"and ",""))=0,LEN('Special Help Table'!$A455)-LEN(SUBSTITUTE('Special Help Table'!$A455,";",""))=0),'Special Help Table'!$A455,AND(LEN('Special Help Table'!$A455)-LEN(SUBSTITUTE('Special Help Table'!$A455,",","")=1),LEN('Special Help Table'!$A455)-LEN(SUBSTITUTE('Special Help Table'!$A455," ","")=20),LEN('Special Help Table'!$A455)-LEN(SUBSTITUTE('Special Help Table'!$A455," and",""))=0,LEN('Special Help Table'!$A455)-LEN(SUBSTITUTE('Special Help Table'!$A455,",","",FIND(" ",'Special Help Table'!$A455)+1))=0),RIGHT('Special Help Table'!$A455,LEN('Special Help Table'!$A455)-FIND(", ",'Special Help Table'!$A455))&amp;" "&amp;LEFT('Special Help Table'!$A455,FIND(",",'Special Help Table'!$A455)-1),AND(LEN('Special Help Table'!$A455)-LEN(SUBSTITUTE('Special Help Table'!$A455,"editor",""))=6,LEN('Special Help Table'!$A455)-LEN(SUBSTITUTE('Special Help Table'!$A455,"(",""))=0,LEN('Special Help Table'!$A455)-LEN(SUBSTITUTE('Special Help Table'!$A455,"and",""))=3,LEN('Special Help Table'!$A455)-LEN(SUBSTITUTE('Special Help Table'!$A455,",",""))=1,LEN('Special Help Table'!$A455)-LEN(SUBSTITUTE('Special Help Table'!$A455," ",""))=3),'Special Help Table'!$A455)</f>
        <v xml:space="preserve"> Jason Mandryk; Molly Wall</v>
      </c>
      <c r="C455" s="4" t="s">
        <v>869</v>
      </c>
      <c r="D455" s="2"/>
      <c r="E455" s="2" t="s">
        <v>16</v>
      </c>
      <c r="F455" s="2" t="s">
        <v>20</v>
      </c>
      <c r="G455" s="2"/>
      <c r="H455" s="2"/>
      <c r="I455" s="2"/>
      <c r="J455" s="2" t="s">
        <v>870</v>
      </c>
      <c r="K455" s="3"/>
      <c r="L455" s="2"/>
      <c r="M455" s="2"/>
      <c r="N455" s="2" t="s">
        <v>18</v>
      </c>
    </row>
    <row r="456" spans="1:14" ht="15.75" customHeight="1" x14ac:dyDescent="0.35">
      <c r="A456" s="2" t="s">
        <v>871</v>
      </c>
      <c r="B456" s="2" t="str" cm="1">
        <f t="array" ref="B456">_xlfn.IFS(AND(LEN('Special Help Table'!$A456)-(LEN(SUBSTITUTE('Special Help Table'!$A456,";","")))=0,LEN('Special Help Table'!$A456)-LEN(SUBSTITUTE('Special Help Table'!$A456,",",""))=1,LEN('Special Help Table'!$A456)-LEN(SUBSTITUTE('Special Help Table'!$A456,"and ",""))=0),MID('Special Help Table'!$A456&amp;" "&amp;'Special Help Table'!$A456,SEARCH(", ",'Special Help Table'!$A456)+1,LEN('Special Help Table'!$A456)),AND(LEN('Special Help Table'!$A456)-(LEN(SUBSTITUTE('Special Help Table'!$A456,";","")))=1,LEN('Special Help Table'!$A456)-LEN(SUBSTITUTE('Special Help Table'!$A456,"and ",""))=0),MID('Special Help Table'!$A456,SEARCH(",",'Special Help Table'!$A456)+1,(SEARCH(";",'Special Help Table'!$A456)-1)-SEARCH(",",'Special Help Table'!$A456))&amp;" "&amp;LEFT('Special Help Table'!$A456,SEARCH(",",'Special Help Table'!$A456)-1)&amp;";"&amp;RIGHT('Special Help Table'!$A456,LEN('Special Help Table'!$A456)-SEARCH(",",'Special Help Table'!$A456,SEARCH(";",'Special Help Table'!$A456)))&amp;" "&amp;MID('Special Help Table'!$A456,SEARCH("; ",'Special Help Table'!$A456)+2,SEARCH(",",'Special Help Table'!$A456,SEARCH(";",'Special Help Table'!$A456))-SEARCH(";",'Special Help Table'!$A456)-2),AND(LEN('Special Help Table'!$A456)-LEN(SUBSTITUTE('Special Help Table'!$A456,"and ",""))=0,LEN('Special Help Table'!$A456)-LEN(SUBSTITUTE('Special Help Table'!$A456,";",""))=0),'Special Help Table'!$A456,AND(LEN('Special Help Table'!$A456)-LEN(SUBSTITUTE('Special Help Table'!$A456,",","")=1),LEN('Special Help Table'!$A456)-LEN(SUBSTITUTE('Special Help Table'!$A456," ","")=20),LEN('Special Help Table'!$A456)-LEN(SUBSTITUTE('Special Help Table'!$A456," and",""))=0,LEN('Special Help Table'!$A456)-LEN(SUBSTITUTE('Special Help Table'!$A456,",","",FIND(" ",'Special Help Table'!$A456)+1))=0),RIGHT('Special Help Table'!$A456,LEN('Special Help Table'!$A456)-FIND(", ",'Special Help Table'!$A456))&amp;" "&amp;LEFT('Special Help Table'!$A456,FIND(",",'Special Help Table'!$A456)-1),AND(LEN('Special Help Table'!$A456)-LEN(SUBSTITUTE('Special Help Table'!$A456,"editor",""))=6,LEN('Special Help Table'!$A456)-LEN(SUBSTITUTE('Special Help Table'!$A456,"(",""))=0,LEN('Special Help Table'!$A456)-LEN(SUBSTITUTE('Special Help Table'!$A456,"and",""))=3,LEN('Special Help Table'!$A456)-LEN(SUBSTITUTE('Special Help Table'!$A456,",",""))=1,LEN('Special Help Table'!$A456)-LEN(SUBSTITUTE('Special Help Table'!$A456," ",""))=3),'Special Help Table'!$A456)</f>
        <v xml:space="preserve"> Alan Mann</v>
      </c>
      <c r="C456" s="4" t="s">
        <v>872</v>
      </c>
      <c r="D456" s="2"/>
      <c r="E456" s="2" t="s">
        <v>16</v>
      </c>
      <c r="F456" s="2" t="s">
        <v>72</v>
      </c>
      <c r="G456" s="2"/>
      <c r="H456" s="2"/>
      <c r="I456" s="2"/>
      <c r="J456" s="2"/>
      <c r="K456" s="3">
        <v>42476</v>
      </c>
      <c r="L456" s="2"/>
      <c r="M456" s="2"/>
      <c r="N456" s="2" t="s">
        <v>18</v>
      </c>
    </row>
    <row r="457" spans="1:14" ht="15.75" customHeight="1" x14ac:dyDescent="0.35">
      <c r="A457" s="2" t="s">
        <v>873</v>
      </c>
      <c r="B457" s="2" t="str" cm="1">
        <f t="array" ref="B457">_xlfn.IFS(AND(LEN('Special Help Table'!$A457)-(LEN(SUBSTITUTE('Special Help Table'!$A457,";","")))=0,LEN('Special Help Table'!$A457)-LEN(SUBSTITUTE('Special Help Table'!$A457,",",""))=1,LEN('Special Help Table'!$A457)-LEN(SUBSTITUTE('Special Help Table'!$A457,"and ",""))=0),MID('Special Help Table'!$A457&amp;" "&amp;'Special Help Table'!$A457,SEARCH(", ",'Special Help Table'!$A457)+1,LEN('Special Help Table'!$A457)),AND(LEN('Special Help Table'!$A457)-(LEN(SUBSTITUTE('Special Help Table'!$A457,";","")))=1,LEN('Special Help Table'!$A457)-LEN(SUBSTITUTE('Special Help Table'!$A457,"and ",""))=0),MID('Special Help Table'!$A457,SEARCH(",",'Special Help Table'!$A457)+1,(SEARCH(";",'Special Help Table'!$A457)-1)-SEARCH(",",'Special Help Table'!$A457))&amp;" "&amp;LEFT('Special Help Table'!$A457,SEARCH(",",'Special Help Table'!$A457)-1)&amp;";"&amp;RIGHT('Special Help Table'!$A457,LEN('Special Help Table'!$A457)-SEARCH(",",'Special Help Table'!$A457,SEARCH(";",'Special Help Table'!$A457)))&amp;" "&amp;MID('Special Help Table'!$A457,SEARCH("; ",'Special Help Table'!$A457)+2,SEARCH(",",'Special Help Table'!$A457,SEARCH(";",'Special Help Table'!$A457))-SEARCH(";",'Special Help Table'!$A457)-2),AND(LEN('Special Help Table'!$A457)-LEN(SUBSTITUTE('Special Help Table'!$A457,"and ",""))=0,LEN('Special Help Table'!$A457)-LEN(SUBSTITUTE('Special Help Table'!$A457,";",""))=0),'Special Help Table'!$A457,AND(LEN('Special Help Table'!$A457)-LEN(SUBSTITUTE('Special Help Table'!$A457,",","")=1),LEN('Special Help Table'!$A457)-LEN(SUBSTITUTE('Special Help Table'!$A457," ","")=20),LEN('Special Help Table'!$A457)-LEN(SUBSTITUTE('Special Help Table'!$A457," and",""))=0,LEN('Special Help Table'!$A457)-LEN(SUBSTITUTE('Special Help Table'!$A457,",","",FIND(" ",'Special Help Table'!$A457)+1))=0),RIGHT('Special Help Table'!$A457,LEN('Special Help Table'!$A457)-FIND(", ",'Special Help Table'!$A457))&amp;" "&amp;LEFT('Special Help Table'!$A457,FIND(",",'Special Help Table'!$A457)-1),AND(LEN('Special Help Table'!$A457)-LEN(SUBSTITUTE('Special Help Table'!$A457,"editor",""))=6,LEN('Special Help Table'!$A457)-LEN(SUBSTITUTE('Special Help Table'!$A457,"(",""))=0,LEN('Special Help Table'!$A457)-LEN(SUBSTITUTE('Special Help Table'!$A457,"and",""))=3,LEN('Special Help Table'!$A457)-LEN(SUBSTITUTE('Special Help Table'!$A457,",",""))=1,LEN('Special Help Table'!$A457)-LEN(SUBSTITUTE('Special Help Table'!$A457," ",""))=3),'Special Help Table'!$A457)</f>
        <v xml:space="preserve"> George M Marsden</v>
      </c>
      <c r="C457" s="4" t="s">
        <v>874</v>
      </c>
      <c r="D457" s="2"/>
      <c r="E457" s="2" t="s">
        <v>16</v>
      </c>
      <c r="F457" s="2" t="s">
        <v>326</v>
      </c>
      <c r="G457" s="2"/>
      <c r="H457" s="2"/>
      <c r="I457" s="2"/>
      <c r="J457" s="2" t="s">
        <v>77</v>
      </c>
      <c r="K457" s="3">
        <v>40055</v>
      </c>
      <c r="L457" s="2"/>
      <c r="M457" s="2"/>
      <c r="N457" s="2" t="s">
        <v>18</v>
      </c>
    </row>
    <row r="458" spans="1:14" ht="15.75" customHeight="1" x14ac:dyDescent="0.35">
      <c r="A458" s="2" t="s">
        <v>875</v>
      </c>
      <c r="B458" s="2" t="str" cm="1">
        <f t="array" ref="B458">_xlfn.IFS(AND(LEN('Special Help Table'!$A458)-(LEN(SUBSTITUTE('Special Help Table'!$A458,";","")))=0,LEN('Special Help Table'!$A458)-LEN(SUBSTITUTE('Special Help Table'!$A458,",",""))=1,LEN('Special Help Table'!$A458)-LEN(SUBSTITUTE('Special Help Table'!$A458,"and ",""))=0),MID('Special Help Table'!$A458&amp;" "&amp;'Special Help Table'!$A458,SEARCH(", ",'Special Help Table'!$A458)+1,LEN('Special Help Table'!$A458)),AND(LEN('Special Help Table'!$A458)-(LEN(SUBSTITUTE('Special Help Table'!$A458,";","")))=1,LEN('Special Help Table'!$A458)-LEN(SUBSTITUTE('Special Help Table'!$A458,"and ",""))=0),MID('Special Help Table'!$A458,SEARCH(",",'Special Help Table'!$A458)+1,(SEARCH(";",'Special Help Table'!$A458)-1)-SEARCH(",",'Special Help Table'!$A458))&amp;" "&amp;LEFT('Special Help Table'!$A458,SEARCH(",",'Special Help Table'!$A458)-1)&amp;";"&amp;RIGHT('Special Help Table'!$A458,LEN('Special Help Table'!$A458)-SEARCH(",",'Special Help Table'!$A458,SEARCH(";",'Special Help Table'!$A458)))&amp;" "&amp;MID('Special Help Table'!$A458,SEARCH("; ",'Special Help Table'!$A458)+2,SEARCH(",",'Special Help Table'!$A458,SEARCH(";",'Special Help Table'!$A458))-SEARCH(";",'Special Help Table'!$A458)-2),AND(LEN('Special Help Table'!$A458)-LEN(SUBSTITUTE('Special Help Table'!$A458,"and ",""))=0,LEN('Special Help Table'!$A458)-LEN(SUBSTITUTE('Special Help Table'!$A458,";",""))=0),'Special Help Table'!$A458,AND(LEN('Special Help Table'!$A458)-LEN(SUBSTITUTE('Special Help Table'!$A458,",","")=1),LEN('Special Help Table'!$A458)-LEN(SUBSTITUTE('Special Help Table'!$A458," ","")=20),LEN('Special Help Table'!$A458)-LEN(SUBSTITUTE('Special Help Table'!$A458," and",""))=0,LEN('Special Help Table'!$A458)-LEN(SUBSTITUTE('Special Help Table'!$A458,",","",FIND(" ",'Special Help Table'!$A458)+1))=0),RIGHT('Special Help Table'!$A458,LEN('Special Help Table'!$A458)-FIND(", ",'Special Help Table'!$A458))&amp;" "&amp;LEFT('Special Help Table'!$A458,FIND(",",'Special Help Table'!$A458)-1),AND(LEN('Special Help Table'!$A458)-LEN(SUBSTITUTE('Special Help Table'!$A458,"editor",""))=6,LEN('Special Help Table'!$A458)-LEN(SUBSTITUTE('Special Help Table'!$A458,"(",""))=0,LEN('Special Help Table'!$A458)-LEN(SUBSTITUTE('Special Help Table'!$A458,"and",""))=3,LEN('Special Help Table'!$A458)-LEN(SUBSTITUTE('Special Help Table'!$A458,",",""))=1,LEN('Special Help Table'!$A458)-LEN(SUBSTITUTE('Special Help Table'!$A458," ",""))=3),'Special Help Table'!$A458)</f>
        <v xml:space="preserve"> Colin Marshall</v>
      </c>
      <c r="C458" s="4" t="s">
        <v>876</v>
      </c>
      <c r="D458" s="2" t="s">
        <v>686</v>
      </c>
      <c r="E458" s="2" t="s">
        <v>16</v>
      </c>
      <c r="F458" s="2" t="s">
        <v>33</v>
      </c>
      <c r="G458" s="2"/>
      <c r="H458" s="2"/>
      <c r="I458" s="2"/>
      <c r="J458" s="2"/>
      <c r="K458" s="3">
        <v>40308</v>
      </c>
      <c r="L458" s="2"/>
      <c r="M458" s="2"/>
      <c r="N458" s="2" t="s">
        <v>18</v>
      </c>
    </row>
    <row r="459" spans="1:14" ht="15.75" customHeight="1" x14ac:dyDescent="0.35">
      <c r="A459" s="2" t="s">
        <v>877</v>
      </c>
      <c r="B459" s="2" t="str" cm="1">
        <f t="array" ref="B459">_xlfn.IFS(AND(LEN('Special Help Table'!$A459)-(LEN(SUBSTITUTE('Special Help Table'!$A459,";","")))=0,LEN('Special Help Table'!$A459)-LEN(SUBSTITUTE('Special Help Table'!$A459,",",""))=1,LEN('Special Help Table'!$A459)-LEN(SUBSTITUTE('Special Help Table'!$A459,"and ",""))=0),MID('Special Help Table'!$A459&amp;" "&amp;'Special Help Table'!$A459,SEARCH(", ",'Special Help Table'!$A459)+1,LEN('Special Help Table'!$A459)),AND(LEN('Special Help Table'!$A459)-(LEN(SUBSTITUTE('Special Help Table'!$A459,";","")))=1,LEN('Special Help Table'!$A459)-LEN(SUBSTITUTE('Special Help Table'!$A459,"and ",""))=0),MID('Special Help Table'!$A459,SEARCH(",",'Special Help Table'!$A459)+1,(SEARCH(";",'Special Help Table'!$A459)-1)-SEARCH(",",'Special Help Table'!$A459))&amp;" "&amp;LEFT('Special Help Table'!$A459,SEARCH(",",'Special Help Table'!$A459)-1)&amp;";"&amp;RIGHT('Special Help Table'!$A459,LEN('Special Help Table'!$A459)-SEARCH(",",'Special Help Table'!$A459,SEARCH(";",'Special Help Table'!$A459)))&amp;" "&amp;MID('Special Help Table'!$A459,SEARCH("; ",'Special Help Table'!$A459)+2,SEARCH(",",'Special Help Table'!$A459,SEARCH(";",'Special Help Table'!$A459))-SEARCH(";",'Special Help Table'!$A459)-2),AND(LEN('Special Help Table'!$A459)-LEN(SUBSTITUTE('Special Help Table'!$A459,"and ",""))=0,LEN('Special Help Table'!$A459)-LEN(SUBSTITUTE('Special Help Table'!$A459,";",""))=0),'Special Help Table'!$A459,AND(LEN('Special Help Table'!$A459)-LEN(SUBSTITUTE('Special Help Table'!$A459,",","")=1),LEN('Special Help Table'!$A459)-LEN(SUBSTITUTE('Special Help Table'!$A459," ","")=20),LEN('Special Help Table'!$A459)-LEN(SUBSTITUTE('Special Help Table'!$A459," and",""))=0,LEN('Special Help Table'!$A459)-LEN(SUBSTITUTE('Special Help Table'!$A459,",","",FIND(" ",'Special Help Table'!$A459)+1))=0),RIGHT('Special Help Table'!$A459,LEN('Special Help Table'!$A459)-FIND(", ",'Special Help Table'!$A459))&amp;" "&amp;LEFT('Special Help Table'!$A459,FIND(",",'Special Help Table'!$A459)-1),AND(LEN('Special Help Table'!$A459)-LEN(SUBSTITUTE('Special Help Table'!$A459,"editor",""))=6,LEN('Special Help Table'!$A459)-LEN(SUBSTITUTE('Special Help Table'!$A459,"(",""))=0,LEN('Special Help Table'!$A459)-LEN(SUBSTITUTE('Special Help Table'!$A459,"and",""))=3,LEN('Special Help Table'!$A459)-LEN(SUBSTITUTE('Special Help Table'!$A459,",",""))=1,LEN('Special Help Table'!$A459)-LEN(SUBSTITUTE('Special Help Table'!$A459," ",""))=3),'Special Help Table'!$A459)</f>
        <v xml:space="preserve"> Walter Martin</v>
      </c>
      <c r="C459" s="4" t="s">
        <v>878</v>
      </c>
      <c r="D459" s="2"/>
      <c r="E459" s="2" t="s">
        <v>16</v>
      </c>
      <c r="F459" s="2" t="s">
        <v>20</v>
      </c>
      <c r="G459" s="2"/>
      <c r="H459" s="2"/>
      <c r="I459" s="2"/>
      <c r="J459" s="2" t="s">
        <v>319</v>
      </c>
      <c r="K459" s="3">
        <v>40951</v>
      </c>
      <c r="L459" s="2"/>
      <c r="M459" s="2"/>
      <c r="N459" s="2" t="s">
        <v>18</v>
      </c>
    </row>
    <row r="460" spans="1:14" ht="15.75" customHeight="1" x14ac:dyDescent="0.35">
      <c r="A460" s="2" t="s">
        <v>879</v>
      </c>
      <c r="B460" s="2" t="e" cm="1">
        <f t="array" ref="B460">_xlfn.IFS(AND(LEN('Special Help Table'!$A460)-(LEN(SUBSTITUTE('Special Help Table'!$A460,";","")))=0,LEN('Special Help Table'!$A460)-LEN(SUBSTITUTE('Special Help Table'!$A460,",",""))=1,LEN('Special Help Table'!$A460)-LEN(SUBSTITUTE('Special Help Table'!$A460,"and ",""))=0),MID('Special Help Table'!$A460&amp;" "&amp;'Special Help Table'!$A460,SEARCH(", ",'Special Help Table'!$A460)+1,LEN('Special Help Table'!$A460)),AND(LEN('Special Help Table'!$A460)-(LEN(SUBSTITUTE('Special Help Table'!$A460,";","")))=1,LEN('Special Help Table'!$A460)-LEN(SUBSTITUTE('Special Help Table'!$A460,"and ",""))=0),MID('Special Help Table'!$A460,SEARCH(",",'Special Help Table'!$A460)+1,(SEARCH(";",'Special Help Table'!$A460)-1)-SEARCH(",",'Special Help Table'!$A460))&amp;" "&amp;LEFT('Special Help Table'!$A460,SEARCH(",",'Special Help Table'!$A460)-1)&amp;";"&amp;RIGHT('Special Help Table'!$A460,LEN('Special Help Table'!$A460)-SEARCH(",",'Special Help Table'!$A460,SEARCH(";",'Special Help Table'!$A460)))&amp;" "&amp;MID('Special Help Table'!$A460,SEARCH("; ",'Special Help Table'!$A460)+2,SEARCH(",",'Special Help Table'!$A460,SEARCH(";",'Special Help Table'!$A460))-SEARCH(";",'Special Help Table'!$A460)-2),AND(LEN('Special Help Table'!$A460)-LEN(SUBSTITUTE('Special Help Table'!$A460,"and ",""))=0,LEN('Special Help Table'!$A460)-LEN(SUBSTITUTE('Special Help Table'!$A460,";",""))=0),'Special Help Table'!$A460,AND(LEN('Special Help Table'!$A460)-LEN(SUBSTITUTE('Special Help Table'!$A460,",","")=1),LEN('Special Help Table'!$A460)-LEN(SUBSTITUTE('Special Help Table'!$A460," ","")=20),LEN('Special Help Table'!$A460)-LEN(SUBSTITUTE('Special Help Table'!$A460," and",""))=0,LEN('Special Help Table'!$A460)-LEN(SUBSTITUTE('Special Help Table'!$A460,",","",FIND(" ",'Special Help Table'!$A460)+1))=0),RIGHT('Special Help Table'!$A460,LEN('Special Help Table'!$A460)-FIND(", ",'Special Help Table'!$A460))&amp;" "&amp;LEFT('Special Help Table'!$A460,FIND(",",'Special Help Table'!$A460)-1),AND(LEN('Special Help Table'!$A460)-LEN(SUBSTITUTE('Special Help Table'!$A460,"editor",""))=6,LEN('Special Help Table'!$A460)-LEN(SUBSTITUTE('Special Help Table'!$A460,"(",""))=0,LEN('Special Help Table'!$A460)-LEN(SUBSTITUTE('Special Help Table'!$A460,"and",""))=3,LEN('Special Help Table'!$A460)-LEN(SUBSTITUTE('Special Help Table'!$A460,",",""))=1,LEN('Special Help Table'!$A460)-LEN(SUBSTITUTE('Special Help Table'!$A460," ",""))=3),'Special Help Table'!$A460)</f>
        <v>#N/A</v>
      </c>
      <c r="C460" s="4" t="s">
        <v>880</v>
      </c>
      <c r="D460" s="2"/>
      <c r="E460" s="2" t="s">
        <v>16</v>
      </c>
      <c r="F460" s="2" t="s">
        <v>39</v>
      </c>
      <c r="G460" s="2"/>
      <c r="H460" s="2"/>
      <c r="I460" s="2"/>
      <c r="J460" s="2"/>
      <c r="K460" s="3">
        <v>40056</v>
      </c>
      <c r="L460" s="2"/>
      <c r="M460" s="2"/>
      <c r="N460" s="2" t="s">
        <v>18</v>
      </c>
    </row>
    <row r="461" spans="1:14" ht="15.75" customHeight="1" x14ac:dyDescent="0.35">
      <c r="A461" s="2" t="s">
        <v>881</v>
      </c>
      <c r="B461" s="2" t="str" cm="1">
        <f t="array" ref="B461">_xlfn.IFS(AND(LEN('Special Help Table'!$A461)-(LEN(SUBSTITUTE('Special Help Table'!$A461,";","")))=0,LEN('Special Help Table'!$A461)-LEN(SUBSTITUTE('Special Help Table'!$A461,",",""))=1,LEN('Special Help Table'!$A461)-LEN(SUBSTITUTE('Special Help Table'!$A461,"and ",""))=0),MID('Special Help Table'!$A461&amp;" "&amp;'Special Help Table'!$A461,SEARCH(", ",'Special Help Table'!$A461)+1,LEN('Special Help Table'!$A461)),AND(LEN('Special Help Table'!$A461)-(LEN(SUBSTITUTE('Special Help Table'!$A461,";","")))=1,LEN('Special Help Table'!$A461)-LEN(SUBSTITUTE('Special Help Table'!$A461,"and ",""))=0),MID('Special Help Table'!$A461,SEARCH(",",'Special Help Table'!$A461)+1,(SEARCH(";",'Special Help Table'!$A461)-1)-SEARCH(",",'Special Help Table'!$A461))&amp;" "&amp;LEFT('Special Help Table'!$A461,SEARCH(",",'Special Help Table'!$A461)-1)&amp;";"&amp;RIGHT('Special Help Table'!$A461,LEN('Special Help Table'!$A461)-SEARCH(",",'Special Help Table'!$A461,SEARCH(";",'Special Help Table'!$A461)))&amp;" "&amp;MID('Special Help Table'!$A461,SEARCH("; ",'Special Help Table'!$A461)+2,SEARCH(",",'Special Help Table'!$A461,SEARCH(";",'Special Help Table'!$A461))-SEARCH(";",'Special Help Table'!$A461)-2),AND(LEN('Special Help Table'!$A461)-LEN(SUBSTITUTE('Special Help Table'!$A461,"and ",""))=0,LEN('Special Help Table'!$A461)-LEN(SUBSTITUTE('Special Help Table'!$A461,";",""))=0),'Special Help Table'!$A461,AND(LEN('Special Help Table'!$A461)-LEN(SUBSTITUTE('Special Help Table'!$A461,",","")=1),LEN('Special Help Table'!$A461)-LEN(SUBSTITUTE('Special Help Table'!$A461," ","")=20),LEN('Special Help Table'!$A461)-LEN(SUBSTITUTE('Special Help Table'!$A461," and",""))=0,LEN('Special Help Table'!$A461)-LEN(SUBSTITUTE('Special Help Table'!$A461,",","",FIND(" ",'Special Help Table'!$A461)+1))=0),RIGHT('Special Help Table'!$A461,LEN('Special Help Table'!$A461)-FIND(", ",'Special Help Table'!$A461))&amp;" "&amp;LEFT('Special Help Table'!$A461,FIND(",",'Special Help Table'!$A461)-1),AND(LEN('Special Help Table'!$A461)-LEN(SUBSTITUTE('Special Help Table'!$A461,"editor",""))=6,LEN('Special Help Table'!$A461)-LEN(SUBSTITUTE('Special Help Table'!$A461,"(",""))=0,LEN('Special Help Table'!$A461)-LEN(SUBSTITUTE('Special Help Table'!$A461,"and",""))=3,LEN('Special Help Table'!$A461)-LEN(SUBSTITUTE('Special Help Table'!$A461,",",""))=1,LEN('Special Help Table'!$A461)-LEN(SUBSTITUTE('Special Help Table'!$A461," ",""))=3),'Special Help Table'!$A461)</f>
        <v xml:space="preserve"> David Mathis</v>
      </c>
      <c r="C461" s="4" t="s">
        <v>882</v>
      </c>
      <c r="D461" s="2"/>
      <c r="E461" s="2" t="s">
        <v>16</v>
      </c>
      <c r="F461" s="2" t="s">
        <v>36</v>
      </c>
      <c r="G461" s="2"/>
      <c r="H461" s="2"/>
      <c r="I461" s="2"/>
      <c r="J461" s="2"/>
      <c r="K461" s="3">
        <v>42503</v>
      </c>
      <c r="L461" s="2"/>
      <c r="M461" s="2"/>
      <c r="N461" s="2" t="s">
        <v>18</v>
      </c>
    </row>
    <row r="462" spans="1:14" ht="15.75" customHeight="1" x14ac:dyDescent="0.35">
      <c r="A462" s="2" t="s">
        <v>883</v>
      </c>
      <c r="B462" s="2" t="str" cm="1">
        <f t="array" ref="B462">_xlfn.IFS(AND(LEN('Special Help Table'!$A462)-(LEN(SUBSTITUTE('Special Help Table'!$A462,";","")))=0,LEN('Special Help Table'!$A462)-LEN(SUBSTITUTE('Special Help Table'!$A462,",",""))=1,LEN('Special Help Table'!$A462)-LEN(SUBSTITUTE('Special Help Table'!$A462,"and ",""))=0),MID('Special Help Table'!$A462&amp;" "&amp;'Special Help Table'!$A462,SEARCH(", ",'Special Help Table'!$A462)+1,LEN('Special Help Table'!$A462)),AND(LEN('Special Help Table'!$A462)-(LEN(SUBSTITUTE('Special Help Table'!$A462,";","")))=1,LEN('Special Help Table'!$A462)-LEN(SUBSTITUTE('Special Help Table'!$A462,"and ",""))=0),MID('Special Help Table'!$A462,SEARCH(",",'Special Help Table'!$A462)+1,(SEARCH(";",'Special Help Table'!$A462)-1)-SEARCH(",",'Special Help Table'!$A462))&amp;" "&amp;LEFT('Special Help Table'!$A462,SEARCH(",",'Special Help Table'!$A462)-1)&amp;";"&amp;RIGHT('Special Help Table'!$A462,LEN('Special Help Table'!$A462)-SEARCH(",",'Special Help Table'!$A462,SEARCH(";",'Special Help Table'!$A462)))&amp;" "&amp;MID('Special Help Table'!$A462,SEARCH("; ",'Special Help Table'!$A462)+2,SEARCH(",",'Special Help Table'!$A462,SEARCH(";",'Special Help Table'!$A462))-SEARCH(";",'Special Help Table'!$A462)-2),AND(LEN('Special Help Table'!$A462)-LEN(SUBSTITUTE('Special Help Table'!$A462,"and ",""))=0,LEN('Special Help Table'!$A462)-LEN(SUBSTITUTE('Special Help Table'!$A462,";",""))=0),'Special Help Table'!$A462,AND(LEN('Special Help Table'!$A462)-LEN(SUBSTITUTE('Special Help Table'!$A462,",","")=1),LEN('Special Help Table'!$A462)-LEN(SUBSTITUTE('Special Help Table'!$A462," ","")=20),LEN('Special Help Table'!$A462)-LEN(SUBSTITUTE('Special Help Table'!$A462," and",""))=0,LEN('Special Help Table'!$A462)-LEN(SUBSTITUTE('Special Help Table'!$A462,",","",FIND(" ",'Special Help Table'!$A462)+1))=0),RIGHT('Special Help Table'!$A462,LEN('Special Help Table'!$A462)-FIND(", ",'Special Help Table'!$A462))&amp;" "&amp;LEFT('Special Help Table'!$A462,FIND(",",'Special Help Table'!$A462)-1),AND(LEN('Special Help Table'!$A462)-LEN(SUBSTITUTE('Special Help Table'!$A462,"editor",""))=6,LEN('Special Help Table'!$A462)-LEN(SUBSTITUTE('Special Help Table'!$A462,"(",""))=0,LEN('Special Help Table'!$A462)-LEN(SUBSTITUTE('Special Help Table'!$A462,"and",""))=3,LEN('Special Help Table'!$A462)-LEN(SUBSTITUTE('Special Help Table'!$A462,",",""))=1,LEN('Special Help Table'!$A462)-LEN(SUBSTITUTE('Special Help Table'!$A462," ",""))=3),'Special Help Table'!$A462)</f>
        <v xml:space="preserve"> Richard Mayhue</v>
      </c>
      <c r="C462" s="4" t="s">
        <v>884</v>
      </c>
      <c r="D462" s="2"/>
      <c r="E462" s="2" t="s">
        <v>16</v>
      </c>
      <c r="F462" s="2" t="s">
        <v>17</v>
      </c>
      <c r="G462" s="2"/>
      <c r="H462" s="2"/>
      <c r="I462" s="2"/>
      <c r="J462" s="2" t="s">
        <v>188</v>
      </c>
      <c r="K462" s="3">
        <v>40735</v>
      </c>
      <c r="L462" s="2"/>
      <c r="M462" s="2"/>
      <c r="N462" s="2" t="s">
        <v>18</v>
      </c>
    </row>
    <row r="463" spans="1:14" ht="15.75" customHeight="1" x14ac:dyDescent="0.35">
      <c r="A463" s="2" t="s">
        <v>885</v>
      </c>
      <c r="B463" s="2" t="str" cm="1">
        <f t="array" ref="B463">_xlfn.IFS(AND(LEN('Special Help Table'!$A463)-(LEN(SUBSTITUTE('Special Help Table'!$A463,";","")))=0,LEN('Special Help Table'!$A463)-LEN(SUBSTITUTE('Special Help Table'!$A463,",",""))=1,LEN('Special Help Table'!$A463)-LEN(SUBSTITUTE('Special Help Table'!$A463,"and ",""))=0),MID('Special Help Table'!$A463&amp;" "&amp;'Special Help Table'!$A463,SEARCH(", ",'Special Help Table'!$A463)+1,LEN('Special Help Table'!$A463)),AND(LEN('Special Help Table'!$A463)-(LEN(SUBSTITUTE('Special Help Table'!$A463,";","")))=1,LEN('Special Help Table'!$A463)-LEN(SUBSTITUTE('Special Help Table'!$A463,"and ",""))=0),MID('Special Help Table'!$A463,SEARCH(",",'Special Help Table'!$A463)+1,(SEARCH(";",'Special Help Table'!$A463)-1)-SEARCH(",",'Special Help Table'!$A463))&amp;" "&amp;LEFT('Special Help Table'!$A463,SEARCH(",",'Special Help Table'!$A463)-1)&amp;";"&amp;RIGHT('Special Help Table'!$A463,LEN('Special Help Table'!$A463)-SEARCH(",",'Special Help Table'!$A463,SEARCH(";",'Special Help Table'!$A463)))&amp;" "&amp;MID('Special Help Table'!$A463,SEARCH("; ",'Special Help Table'!$A463)+2,SEARCH(",",'Special Help Table'!$A463,SEARCH(";",'Special Help Table'!$A463))-SEARCH(";",'Special Help Table'!$A463)-2),AND(LEN('Special Help Table'!$A463)-LEN(SUBSTITUTE('Special Help Table'!$A463,"and ",""))=0,LEN('Special Help Table'!$A463)-LEN(SUBSTITUTE('Special Help Table'!$A463,";",""))=0),'Special Help Table'!$A463,AND(LEN('Special Help Table'!$A463)-LEN(SUBSTITUTE('Special Help Table'!$A463,",","")=1),LEN('Special Help Table'!$A463)-LEN(SUBSTITUTE('Special Help Table'!$A463," ","")=20),LEN('Special Help Table'!$A463)-LEN(SUBSTITUTE('Special Help Table'!$A463," and",""))=0,LEN('Special Help Table'!$A463)-LEN(SUBSTITUTE('Special Help Table'!$A463,",","",FIND(" ",'Special Help Table'!$A463)+1))=0),RIGHT('Special Help Table'!$A463,LEN('Special Help Table'!$A463)-FIND(", ",'Special Help Table'!$A463))&amp;" "&amp;LEFT('Special Help Table'!$A463,FIND(",",'Special Help Table'!$A463)-1),AND(LEN('Special Help Table'!$A463)-LEN(SUBSTITUTE('Special Help Table'!$A463,"editor",""))=6,LEN('Special Help Table'!$A463)-LEN(SUBSTITUTE('Special Help Table'!$A463,"(",""))=0,LEN('Special Help Table'!$A463)-LEN(SUBSTITUTE('Special Help Table'!$A463,"and",""))=3,LEN('Special Help Table'!$A463)-LEN(SUBSTITUTE('Special Help Table'!$A463,",",""))=1,LEN('Special Help Table'!$A463)-LEN(SUBSTITUTE('Special Help Table'!$A463," ",""))=3),'Special Help Table'!$A463)</f>
        <v xml:space="preserve"> Dan McCartney</v>
      </c>
      <c r="C463" s="4" t="s">
        <v>886</v>
      </c>
      <c r="D463" s="2"/>
      <c r="E463" s="2" t="s">
        <v>16</v>
      </c>
      <c r="F463" s="2" t="s">
        <v>76</v>
      </c>
      <c r="G463" s="2"/>
      <c r="H463" s="2"/>
      <c r="I463" s="2"/>
      <c r="J463" s="2"/>
      <c r="K463" s="3">
        <v>43832</v>
      </c>
      <c r="L463" s="2"/>
      <c r="M463" s="2"/>
      <c r="N463" s="2" t="s">
        <v>18</v>
      </c>
    </row>
    <row r="464" spans="1:14" ht="15.75" customHeight="1" x14ac:dyDescent="0.35">
      <c r="A464" s="2" t="s">
        <v>887</v>
      </c>
      <c r="B464" s="2" t="str" cm="1">
        <f t="array" ref="B464">_xlfn.IFS(AND(LEN('Special Help Table'!$A464)-(LEN(SUBSTITUTE('Special Help Table'!$A464,";","")))=0,LEN('Special Help Table'!$A464)-LEN(SUBSTITUTE('Special Help Table'!$A464,",",""))=1,LEN('Special Help Table'!$A464)-LEN(SUBSTITUTE('Special Help Table'!$A464,"and ",""))=0),MID('Special Help Table'!$A464&amp;" "&amp;'Special Help Table'!$A464,SEARCH(", ",'Special Help Table'!$A464)+1,LEN('Special Help Table'!$A464)),AND(LEN('Special Help Table'!$A464)-(LEN(SUBSTITUTE('Special Help Table'!$A464,";","")))=1,LEN('Special Help Table'!$A464)-LEN(SUBSTITUTE('Special Help Table'!$A464,"and ",""))=0),MID('Special Help Table'!$A464,SEARCH(",",'Special Help Table'!$A464)+1,(SEARCH(";",'Special Help Table'!$A464)-1)-SEARCH(",",'Special Help Table'!$A464))&amp;" "&amp;LEFT('Special Help Table'!$A464,SEARCH(",",'Special Help Table'!$A464)-1)&amp;";"&amp;RIGHT('Special Help Table'!$A464,LEN('Special Help Table'!$A464)-SEARCH(",",'Special Help Table'!$A464,SEARCH(";",'Special Help Table'!$A464)))&amp;" "&amp;MID('Special Help Table'!$A464,SEARCH("; ",'Special Help Table'!$A464)+2,SEARCH(",",'Special Help Table'!$A464,SEARCH(";",'Special Help Table'!$A464))-SEARCH(";",'Special Help Table'!$A464)-2),AND(LEN('Special Help Table'!$A464)-LEN(SUBSTITUTE('Special Help Table'!$A464,"and ",""))=0,LEN('Special Help Table'!$A464)-LEN(SUBSTITUTE('Special Help Table'!$A464,";",""))=0),'Special Help Table'!$A464,AND(LEN('Special Help Table'!$A464)-LEN(SUBSTITUTE('Special Help Table'!$A464,",","")=1),LEN('Special Help Table'!$A464)-LEN(SUBSTITUTE('Special Help Table'!$A464," ","")=20),LEN('Special Help Table'!$A464)-LEN(SUBSTITUTE('Special Help Table'!$A464," and",""))=0,LEN('Special Help Table'!$A464)-LEN(SUBSTITUTE('Special Help Table'!$A464,",","",FIND(" ",'Special Help Table'!$A464)+1))=0),RIGHT('Special Help Table'!$A464,LEN('Special Help Table'!$A464)-FIND(", ",'Special Help Table'!$A464))&amp;" "&amp;LEFT('Special Help Table'!$A464,FIND(",",'Special Help Table'!$A464)-1),AND(LEN('Special Help Table'!$A464)-LEN(SUBSTITUTE('Special Help Table'!$A464,"editor",""))=6,LEN('Special Help Table'!$A464)-LEN(SUBSTITUTE('Special Help Table'!$A464,"(",""))=0,LEN('Special Help Table'!$A464)-LEN(SUBSTITUTE('Special Help Table'!$A464,"and",""))=3,LEN('Special Help Table'!$A464)-LEN(SUBSTITUTE('Special Help Table'!$A464,",",""))=1,LEN('Special Help Table'!$A464)-LEN(SUBSTITUTE('Special Help Table'!$A464," ",""))=3),'Special Help Table'!$A464)</f>
        <v xml:space="preserve"> Carolyn McCulley</v>
      </c>
      <c r="C464" s="4" t="s">
        <v>888</v>
      </c>
      <c r="D464" s="2"/>
      <c r="E464" s="2" t="s">
        <v>16</v>
      </c>
      <c r="F464" s="2" t="s">
        <v>17</v>
      </c>
      <c r="G464" s="2"/>
      <c r="H464" s="2"/>
      <c r="I464" s="2"/>
      <c r="J464" s="2" t="s">
        <v>889</v>
      </c>
      <c r="K464" s="3">
        <v>40247</v>
      </c>
      <c r="L464" s="2"/>
      <c r="M464" s="2"/>
      <c r="N464" s="2" t="s">
        <v>18</v>
      </c>
    </row>
    <row r="465" spans="1:14" ht="15.75" customHeight="1" x14ac:dyDescent="0.35">
      <c r="A465" s="2" t="s">
        <v>890</v>
      </c>
      <c r="B465" s="2" t="str" cm="1">
        <f t="array" ref="B465">_xlfn.IFS(AND(LEN('Special Help Table'!$A465)-(LEN(SUBSTITUTE('Special Help Table'!$A465,";","")))=0,LEN('Special Help Table'!$A465)-LEN(SUBSTITUTE('Special Help Table'!$A465,",",""))=1,LEN('Special Help Table'!$A465)-LEN(SUBSTITUTE('Special Help Table'!$A465,"and ",""))=0),MID('Special Help Table'!$A465&amp;" "&amp;'Special Help Table'!$A465,SEARCH(", ",'Special Help Table'!$A465)+1,LEN('Special Help Table'!$A465)),AND(LEN('Special Help Table'!$A465)-(LEN(SUBSTITUTE('Special Help Table'!$A465,";","")))=1,LEN('Special Help Table'!$A465)-LEN(SUBSTITUTE('Special Help Table'!$A465,"and ",""))=0),MID('Special Help Table'!$A465,SEARCH(",",'Special Help Table'!$A465)+1,(SEARCH(";",'Special Help Table'!$A465)-1)-SEARCH(",",'Special Help Table'!$A465))&amp;" "&amp;LEFT('Special Help Table'!$A465,SEARCH(",",'Special Help Table'!$A465)-1)&amp;";"&amp;RIGHT('Special Help Table'!$A465,LEN('Special Help Table'!$A465)-SEARCH(",",'Special Help Table'!$A465,SEARCH(";",'Special Help Table'!$A465)))&amp;" "&amp;MID('Special Help Table'!$A465,SEARCH("; ",'Special Help Table'!$A465)+2,SEARCH(",",'Special Help Table'!$A465,SEARCH(";",'Special Help Table'!$A465))-SEARCH(";",'Special Help Table'!$A465)-2),AND(LEN('Special Help Table'!$A465)-LEN(SUBSTITUTE('Special Help Table'!$A465,"and ",""))=0,LEN('Special Help Table'!$A465)-LEN(SUBSTITUTE('Special Help Table'!$A465,";",""))=0),'Special Help Table'!$A465,AND(LEN('Special Help Table'!$A465)-LEN(SUBSTITUTE('Special Help Table'!$A465,",","")=1),LEN('Special Help Table'!$A465)-LEN(SUBSTITUTE('Special Help Table'!$A465," ","")=20),LEN('Special Help Table'!$A465)-LEN(SUBSTITUTE('Special Help Table'!$A465," and",""))=0,LEN('Special Help Table'!$A465)-LEN(SUBSTITUTE('Special Help Table'!$A465,",","",FIND(" ",'Special Help Table'!$A465)+1))=0),RIGHT('Special Help Table'!$A465,LEN('Special Help Table'!$A465)-FIND(", ",'Special Help Table'!$A465))&amp;" "&amp;LEFT('Special Help Table'!$A465,FIND(",",'Special Help Table'!$A465)-1),AND(LEN('Special Help Table'!$A465)-LEN(SUBSTITUTE('Special Help Table'!$A465,"editor",""))=6,LEN('Special Help Table'!$A465)-LEN(SUBSTITUTE('Special Help Table'!$A465,"(",""))=0,LEN('Special Help Table'!$A465)-LEN(SUBSTITUTE('Special Help Table'!$A465,"and",""))=3,LEN('Special Help Table'!$A465)-LEN(SUBSTITUTE('Special Help Table'!$A465,",",""))=1,LEN('Special Help Table'!$A465)-LEN(SUBSTITUTE('Special Help Table'!$A465," ",""))=3),'Special Help Table'!$A465)</f>
        <v xml:space="preserve"> Josh McDowell</v>
      </c>
      <c r="C465" s="4" t="s">
        <v>891</v>
      </c>
      <c r="D465" s="2"/>
      <c r="E465" s="2" t="s">
        <v>16</v>
      </c>
      <c r="F465" s="2" t="s">
        <v>92</v>
      </c>
      <c r="G465" s="2"/>
      <c r="H465" s="2"/>
      <c r="I465" s="2"/>
      <c r="J465" s="2" t="s">
        <v>142</v>
      </c>
      <c r="K465" s="3">
        <v>40034</v>
      </c>
      <c r="L465" s="2"/>
      <c r="M465" s="2"/>
      <c r="N465" s="2" t="s">
        <v>18</v>
      </c>
    </row>
    <row r="466" spans="1:14" ht="15.75" customHeight="1" x14ac:dyDescent="0.35">
      <c r="A466" s="2" t="s">
        <v>892</v>
      </c>
      <c r="B466" s="2" t="str" cm="1">
        <f t="array" ref="B466">_xlfn.IFS(AND(LEN('Special Help Table'!$A466)-(LEN(SUBSTITUTE('Special Help Table'!$A466,";","")))=0,LEN('Special Help Table'!$A466)-LEN(SUBSTITUTE('Special Help Table'!$A466,",",""))=1,LEN('Special Help Table'!$A466)-LEN(SUBSTITUTE('Special Help Table'!$A466,"and ",""))=0),MID('Special Help Table'!$A466&amp;" "&amp;'Special Help Table'!$A466,SEARCH(", ",'Special Help Table'!$A466)+1,LEN('Special Help Table'!$A466)),AND(LEN('Special Help Table'!$A466)-(LEN(SUBSTITUTE('Special Help Table'!$A466,";","")))=1,LEN('Special Help Table'!$A466)-LEN(SUBSTITUTE('Special Help Table'!$A466,"and ",""))=0),MID('Special Help Table'!$A466,SEARCH(",",'Special Help Table'!$A466)+1,(SEARCH(";",'Special Help Table'!$A466)-1)-SEARCH(",",'Special Help Table'!$A466))&amp;" "&amp;LEFT('Special Help Table'!$A466,SEARCH(",",'Special Help Table'!$A466)-1)&amp;";"&amp;RIGHT('Special Help Table'!$A466,LEN('Special Help Table'!$A466)-SEARCH(",",'Special Help Table'!$A466,SEARCH(";",'Special Help Table'!$A466)))&amp;" "&amp;MID('Special Help Table'!$A466,SEARCH("; ",'Special Help Table'!$A466)+2,SEARCH(",",'Special Help Table'!$A466,SEARCH(";",'Special Help Table'!$A466))-SEARCH(";",'Special Help Table'!$A466)-2),AND(LEN('Special Help Table'!$A466)-LEN(SUBSTITUTE('Special Help Table'!$A466,"and ",""))=0,LEN('Special Help Table'!$A466)-LEN(SUBSTITUTE('Special Help Table'!$A466,";",""))=0),'Special Help Table'!$A466,AND(LEN('Special Help Table'!$A466)-LEN(SUBSTITUTE('Special Help Table'!$A466,",","")=1),LEN('Special Help Table'!$A466)-LEN(SUBSTITUTE('Special Help Table'!$A466," ","")=20),LEN('Special Help Table'!$A466)-LEN(SUBSTITUTE('Special Help Table'!$A466," and",""))=0,LEN('Special Help Table'!$A466)-LEN(SUBSTITUTE('Special Help Table'!$A466,",","",FIND(" ",'Special Help Table'!$A466)+1))=0),RIGHT('Special Help Table'!$A466,LEN('Special Help Table'!$A466)-FIND(", ",'Special Help Table'!$A466))&amp;" "&amp;LEFT('Special Help Table'!$A466,FIND(",",'Special Help Table'!$A466)-1),AND(LEN('Special Help Table'!$A466)-LEN(SUBSTITUTE('Special Help Table'!$A466,"editor",""))=6,LEN('Special Help Table'!$A466)-LEN(SUBSTITUTE('Special Help Table'!$A466,"(",""))=0,LEN('Special Help Table'!$A466)-LEN(SUBSTITUTE('Special Help Table'!$A466,"and",""))=3,LEN('Special Help Table'!$A466)-LEN(SUBSTITUTE('Special Help Table'!$A466,",",""))=1,LEN('Special Help Table'!$A466)-LEN(SUBSTITUTE('Special Help Table'!$A466," ",""))=3),'Special Help Table'!$A466)</f>
        <v xml:space="preserve"> Patrick McIntyre</v>
      </c>
      <c r="C466" s="4" t="s">
        <v>893</v>
      </c>
      <c r="D466" s="2"/>
      <c r="E466" s="2" t="s">
        <v>16</v>
      </c>
      <c r="F466" s="2" t="s">
        <v>326</v>
      </c>
      <c r="G466" s="2"/>
      <c r="H466" s="2"/>
      <c r="I466" s="2"/>
      <c r="J466" s="2" t="s">
        <v>77</v>
      </c>
      <c r="K466" s="3">
        <v>40035</v>
      </c>
      <c r="L466" s="2"/>
      <c r="M466" s="2"/>
      <c r="N466" s="2" t="s">
        <v>18</v>
      </c>
    </row>
    <row r="467" spans="1:14" ht="15.75" customHeight="1" x14ac:dyDescent="0.35">
      <c r="A467" s="2" t="s">
        <v>894</v>
      </c>
      <c r="B467" s="2" t="str" cm="1">
        <f t="array" ref="B467">_xlfn.IFS(AND(LEN('Special Help Table'!$A467)-(LEN(SUBSTITUTE('Special Help Table'!$A467,";","")))=0,LEN('Special Help Table'!$A467)-LEN(SUBSTITUTE('Special Help Table'!$A467,",",""))=1,LEN('Special Help Table'!$A467)-LEN(SUBSTITUTE('Special Help Table'!$A467,"and ",""))=0),MID('Special Help Table'!$A467&amp;" "&amp;'Special Help Table'!$A467,SEARCH(", ",'Special Help Table'!$A467)+1,LEN('Special Help Table'!$A467)),AND(LEN('Special Help Table'!$A467)-(LEN(SUBSTITUTE('Special Help Table'!$A467,";","")))=1,LEN('Special Help Table'!$A467)-LEN(SUBSTITUTE('Special Help Table'!$A467,"and ",""))=0),MID('Special Help Table'!$A467,SEARCH(",",'Special Help Table'!$A467)+1,(SEARCH(";",'Special Help Table'!$A467)-1)-SEARCH(",",'Special Help Table'!$A467))&amp;" "&amp;LEFT('Special Help Table'!$A467,SEARCH(",",'Special Help Table'!$A467)-1)&amp;";"&amp;RIGHT('Special Help Table'!$A467,LEN('Special Help Table'!$A467)-SEARCH(",",'Special Help Table'!$A467,SEARCH(";",'Special Help Table'!$A467)))&amp;" "&amp;MID('Special Help Table'!$A467,SEARCH("; ",'Special Help Table'!$A467)+2,SEARCH(",",'Special Help Table'!$A467,SEARCH(";",'Special Help Table'!$A467))-SEARCH(";",'Special Help Table'!$A467)-2),AND(LEN('Special Help Table'!$A467)-LEN(SUBSTITUTE('Special Help Table'!$A467,"and ",""))=0,LEN('Special Help Table'!$A467)-LEN(SUBSTITUTE('Special Help Table'!$A467,";",""))=0),'Special Help Table'!$A467,AND(LEN('Special Help Table'!$A467)-LEN(SUBSTITUTE('Special Help Table'!$A467,",","")=1),LEN('Special Help Table'!$A467)-LEN(SUBSTITUTE('Special Help Table'!$A467," ","")=20),LEN('Special Help Table'!$A467)-LEN(SUBSTITUTE('Special Help Table'!$A467," and",""))=0,LEN('Special Help Table'!$A467)-LEN(SUBSTITUTE('Special Help Table'!$A467,",","",FIND(" ",'Special Help Table'!$A467)+1))=0),RIGHT('Special Help Table'!$A467,LEN('Special Help Table'!$A467)-FIND(", ",'Special Help Table'!$A467))&amp;" "&amp;LEFT('Special Help Table'!$A467,FIND(",",'Special Help Table'!$A467)-1),AND(LEN('Special Help Table'!$A467)-LEN(SUBSTITUTE('Special Help Table'!$A467,"editor",""))=6,LEN('Special Help Table'!$A467)-LEN(SUBSTITUTE('Special Help Table'!$A467,"(",""))=0,LEN('Special Help Table'!$A467)-LEN(SUBSTITUTE('Special Help Table'!$A467,"and",""))=3,LEN('Special Help Table'!$A467)-LEN(SUBSTITUTE('Special Help Table'!$A467,",",""))=1,LEN('Special Help Table'!$A467)-LEN(SUBSTITUTE('Special Help Table'!$A467," ",""))=3),'Special Help Table'!$A467)</f>
        <v xml:space="preserve"> Starr Meade</v>
      </c>
      <c r="C467" s="4" t="s">
        <v>895</v>
      </c>
      <c r="D467" s="2"/>
      <c r="E467" s="2" t="s">
        <v>16</v>
      </c>
      <c r="F467" s="2" t="s">
        <v>72</v>
      </c>
      <c r="G467" s="2"/>
      <c r="H467" s="2"/>
      <c r="I467" s="2"/>
      <c r="J467" s="2"/>
      <c r="K467" s="3">
        <v>43211</v>
      </c>
      <c r="L467" s="2"/>
      <c r="M467" s="2"/>
      <c r="N467" s="2" t="s">
        <v>18</v>
      </c>
    </row>
    <row r="468" spans="1:14" ht="15.75" customHeight="1" x14ac:dyDescent="0.35">
      <c r="A468" s="2" t="s">
        <v>894</v>
      </c>
      <c r="B468" s="2" t="str" cm="1">
        <f t="array" ref="B468">_xlfn.IFS(AND(LEN('Special Help Table'!$A468)-(LEN(SUBSTITUTE('Special Help Table'!$A468,";","")))=0,LEN('Special Help Table'!$A468)-LEN(SUBSTITUTE('Special Help Table'!$A468,",",""))=1,LEN('Special Help Table'!$A468)-LEN(SUBSTITUTE('Special Help Table'!$A468,"and ",""))=0),MID('Special Help Table'!$A468&amp;" "&amp;'Special Help Table'!$A468,SEARCH(", ",'Special Help Table'!$A468)+1,LEN('Special Help Table'!$A468)),AND(LEN('Special Help Table'!$A468)-(LEN(SUBSTITUTE('Special Help Table'!$A468,";","")))=1,LEN('Special Help Table'!$A468)-LEN(SUBSTITUTE('Special Help Table'!$A468,"and ",""))=0),MID('Special Help Table'!$A468,SEARCH(",",'Special Help Table'!$A468)+1,(SEARCH(";",'Special Help Table'!$A468)-1)-SEARCH(",",'Special Help Table'!$A468))&amp;" "&amp;LEFT('Special Help Table'!$A468,SEARCH(",",'Special Help Table'!$A468)-1)&amp;";"&amp;RIGHT('Special Help Table'!$A468,LEN('Special Help Table'!$A468)-SEARCH(",",'Special Help Table'!$A468,SEARCH(";",'Special Help Table'!$A468)))&amp;" "&amp;MID('Special Help Table'!$A468,SEARCH("; ",'Special Help Table'!$A468)+2,SEARCH(",",'Special Help Table'!$A468,SEARCH(";",'Special Help Table'!$A468))-SEARCH(";",'Special Help Table'!$A468)-2),AND(LEN('Special Help Table'!$A468)-LEN(SUBSTITUTE('Special Help Table'!$A468,"and ",""))=0,LEN('Special Help Table'!$A468)-LEN(SUBSTITUTE('Special Help Table'!$A468,";",""))=0),'Special Help Table'!$A468,AND(LEN('Special Help Table'!$A468)-LEN(SUBSTITUTE('Special Help Table'!$A468,",","")=1),LEN('Special Help Table'!$A468)-LEN(SUBSTITUTE('Special Help Table'!$A468," ","")=20),LEN('Special Help Table'!$A468)-LEN(SUBSTITUTE('Special Help Table'!$A468," and",""))=0,LEN('Special Help Table'!$A468)-LEN(SUBSTITUTE('Special Help Table'!$A468,",","",FIND(" ",'Special Help Table'!$A468)+1))=0),RIGHT('Special Help Table'!$A468,LEN('Special Help Table'!$A468)-FIND(", ",'Special Help Table'!$A468))&amp;" "&amp;LEFT('Special Help Table'!$A468,FIND(",",'Special Help Table'!$A468)-1),AND(LEN('Special Help Table'!$A468)-LEN(SUBSTITUTE('Special Help Table'!$A468,"editor",""))=6,LEN('Special Help Table'!$A468)-LEN(SUBSTITUTE('Special Help Table'!$A468,"(",""))=0,LEN('Special Help Table'!$A468)-LEN(SUBSTITUTE('Special Help Table'!$A468,"and",""))=3,LEN('Special Help Table'!$A468)-LEN(SUBSTITUTE('Special Help Table'!$A468,",",""))=1,LEN('Special Help Table'!$A468)-LEN(SUBSTITUTE('Special Help Table'!$A468," ",""))=3),'Special Help Table'!$A468)</f>
        <v xml:space="preserve"> Starr Meade</v>
      </c>
      <c r="C468" s="4" t="s">
        <v>896</v>
      </c>
      <c r="D468" s="2"/>
      <c r="E468" s="2" t="s">
        <v>16</v>
      </c>
      <c r="F468" s="2" t="s">
        <v>36</v>
      </c>
      <c r="G468" s="2"/>
      <c r="H468" s="2"/>
      <c r="I468" s="2" t="s">
        <v>401</v>
      </c>
      <c r="J468" s="2"/>
      <c r="K468" s="3">
        <v>42677</v>
      </c>
      <c r="L468" s="2"/>
      <c r="M468" s="2"/>
      <c r="N468" s="2" t="s">
        <v>18</v>
      </c>
    </row>
    <row r="469" spans="1:14" ht="15.75" customHeight="1" x14ac:dyDescent="0.35">
      <c r="A469" s="2" t="s">
        <v>897</v>
      </c>
      <c r="B469" s="2" t="str" cm="1">
        <f t="array" ref="B469">_xlfn.IFS(AND(LEN('Special Help Table'!$A469)-(LEN(SUBSTITUTE('Special Help Table'!$A469,";","")))=0,LEN('Special Help Table'!$A469)-LEN(SUBSTITUTE('Special Help Table'!$A469,",",""))=1,LEN('Special Help Table'!$A469)-LEN(SUBSTITUTE('Special Help Table'!$A469,"and ",""))=0),MID('Special Help Table'!$A469&amp;" "&amp;'Special Help Table'!$A469,SEARCH(", ",'Special Help Table'!$A469)+1,LEN('Special Help Table'!$A469)),AND(LEN('Special Help Table'!$A469)-(LEN(SUBSTITUTE('Special Help Table'!$A469,";","")))=1,LEN('Special Help Table'!$A469)-LEN(SUBSTITUTE('Special Help Table'!$A469,"and ",""))=0),MID('Special Help Table'!$A469,SEARCH(",",'Special Help Table'!$A469)+1,(SEARCH(";",'Special Help Table'!$A469)-1)-SEARCH(",",'Special Help Table'!$A469))&amp;" "&amp;LEFT('Special Help Table'!$A469,SEARCH(",",'Special Help Table'!$A469)-1)&amp;";"&amp;RIGHT('Special Help Table'!$A469,LEN('Special Help Table'!$A469)-SEARCH(",",'Special Help Table'!$A469,SEARCH(";",'Special Help Table'!$A469)))&amp;" "&amp;MID('Special Help Table'!$A469,SEARCH("; ",'Special Help Table'!$A469)+2,SEARCH(",",'Special Help Table'!$A469,SEARCH(";",'Special Help Table'!$A469))-SEARCH(";",'Special Help Table'!$A469)-2),AND(LEN('Special Help Table'!$A469)-LEN(SUBSTITUTE('Special Help Table'!$A469,"and ",""))=0,LEN('Special Help Table'!$A469)-LEN(SUBSTITUTE('Special Help Table'!$A469,";",""))=0),'Special Help Table'!$A469,AND(LEN('Special Help Table'!$A469)-LEN(SUBSTITUTE('Special Help Table'!$A469,",","")=1),LEN('Special Help Table'!$A469)-LEN(SUBSTITUTE('Special Help Table'!$A469," ","")=20),LEN('Special Help Table'!$A469)-LEN(SUBSTITUTE('Special Help Table'!$A469," and",""))=0,LEN('Special Help Table'!$A469)-LEN(SUBSTITUTE('Special Help Table'!$A469,",","",FIND(" ",'Special Help Table'!$A469)+1))=0),RIGHT('Special Help Table'!$A469,LEN('Special Help Table'!$A469)-FIND(", ",'Special Help Table'!$A469))&amp;" "&amp;LEFT('Special Help Table'!$A469,FIND(",",'Special Help Table'!$A469)-1),AND(LEN('Special Help Table'!$A469)-LEN(SUBSTITUTE('Special Help Table'!$A469,"editor",""))=6,LEN('Special Help Table'!$A469)-LEN(SUBSTITUTE('Special Help Table'!$A469,"(",""))=0,LEN('Special Help Table'!$A469)-LEN(SUBSTITUTE('Special Help Table'!$A469,"and",""))=3,LEN('Special Help Table'!$A469)-LEN(SUBSTITUTE('Special Help Table'!$A469,",",""))=1,LEN('Special Help Table'!$A469)-LEN(SUBSTITUTE('Special Help Table'!$A469," ",""))=3),'Special Help Table'!$A469)</f>
        <v xml:space="preserve"> Eric Metaxas</v>
      </c>
      <c r="C469" s="4" t="s">
        <v>898</v>
      </c>
      <c r="D469" s="2"/>
      <c r="E469" s="2" t="s">
        <v>16</v>
      </c>
      <c r="F469" s="2" t="s">
        <v>72</v>
      </c>
      <c r="G469" s="2"/>
      <c r="H469" s="2"/>
      <c r="I469" s="2"/>
      <c r="J469" s="2"/>
      <c r="K469" s="3">
        <v>40674</v>
      </c>
      <c r="L469" s="2"/>
      <c r="M469" s="2"/>
      <c r="N469" s="2" t="s">
        <v>18</v>
      </c>
    </row>
    <row r="470" spans="1:14" ht="15.75" customHeight="1" x14ac:dyDescent="0.35">
      <c r="A470" s="2" t="s">
        <v>899</v>
      </c>
      <c r="B470" s="2" t="str" cm="1">
        <f t="array" ref="B470">_xlfn.IFS(AND(LEN('Special Help Table'!$A470)-(LEN(SUBSTITUTE('Special Help Table'!$A470,";","")))=0,LEN('Special Help Table'!$A470)-LEN(SUBSTITUTE('Special Help Table'!$A470,",",""))=1,LEN('Special Help Table'!$A470)-LEN(SUBSTITUTE('Special Help Table'!$A470,"and ",""))=0),MID('Special Help Table'!$A470&amp;" "&amp;'Special Help Table'!$A470,SEARCH(", ",'Special Help Table'!$A470)+1,LEN('Special Help Table'!$A470)),AND(LEN('Special Help Table'!$A470)-(LEN(SUBSTITUTE('Special Help Table'!$A470,";","")))=1,LEN('Special Help Table'!$A470)-LEN(SUBSTITUTE('Special Help Table'!$A470,"and ",""))=0),MID('Special Help Table'!$A470,SEARCH(",",'Special Help Table'!$A470)+1,(SEARCH(";",'Special Help Table'!$A470)-1)-SEARCH(",",'Special Help Table'!$A470))&amp;" "&amp;LEFT('Special Help Table'!$A470,SEARCH(",",'Special Help Table'!$A470)-1)&amp;";"&amp;RIGHT('Special Help Table'!$A470,LEN('Special Help Table'!$A470)-SEARCH(",",'Special Help Table'!$A470,SEARCH(";",'Special Help Table'!$A470)))&amp;" "&amp;MID('Special Help Table'!$A470,SEARCH("; ",'Special Help Table'!$A470)+2,SEARCH(",",'Special Help Table'!$A470,SEARCH(";",'Special Help Table'!$A470))-SEARCH(";",'Special Help Table'!$A470)-2),AND(LEN('Special Help Table'!$A470)-LEN(SUBSTITUTE('Special Help Table'!$A470,"and ",""))=0,LEN('Special Help Table'!$A470)-LEN(SUBSTITUTE('Special Help Table'!$A470,";",""))=0),'Special Help Table'!$A470,AND(LEN('Special Help Table'!$A470)-LEN(SUBSTITUTE('Special Help Table'!$A470,",","")=1),LEN('Special Help Table'!$A470)-LEN(SUBSTITUTE('Special Help Table'!$A470," ","")=20),LEN('Special Help Table'!$A470)-LEN(SUBSTITUTE('Special Help Table'!$A470," and",""))=0,LEN('Special Help Table'!$A470)-LEN(SUBSTITUTE('Special Help Table'!$A470,",","",FIND(" ",'Special Help Table'!$A470)+1))=0),RIGHT('Special Help Table'!$A470,LEN('Special Help Table'!$A470)-FIND(", ",'Special Help Table'!$A470))&amp;" "&amp;LEFT('Special Help Table'!$A470,FIND(",",'Special Help Table'!$A470)-1),AND(LEN('Special Help Table'!$A470)-LEN(SUBSTITUTE('Special Help Table'!$A470,"editor",""))=6,LEN('Special Help Table'!$A470)-LEN(SUBSTITUTE('Special Help Table'!$A470,"(",""))=0,LEN('Special Help Table'!$A470)-LEN(SUBSTITUTE('Special Help Table'!$A470,"and",""))=3,LEN('Special Help Table'!$A470)-LEN(SUBSTITUTE('Special Help Table'!$A470,",",""))=1,LEN('Special Help Table'!$A470)-LEN(SUBSTITUTE('Special Help Table'!$A470," ",""))=3),'Special Help Table'!$A470)</f>
        <v xml:space="preserve"> Will Metzger</v>
      </c>
      <c r="C470" s="4" t="s">
        <v>900</v>
      </c>
      <c r="D470" s="2"/>
      <c r="E470" s="2" t="s">
        <v>16</v>
      </c>
      <c r="F470" s="2" t="s">
        <v>126</v>
      </c>
      <c r="G470" s="2"/>
      <c r="H470" s="2"/>
      <c r="I470" s="2"/>
      <c r="J470" s="2" t="s">
        <v>359</v>
      </c>
      <c r="K470" s="3">
        <v>41591</v>
      </c>
      <c r="L470" s="2"/>
      <c r="M470" s="2"/>
      <c r="N470" s="2" t="s">
        <v>18</v>
      </c>
    </row>
    <row r="471" spans="1:14" ht="15.75" customHeight="1" x14ac:dyDescent="0.35">
      <c r="A471" s="2" t="s">
        <v>901</v>
      </c>
      <c r="B471" s="2" t="str" cm="1">
        <f t="array" ref="B471">_xlfn.IFS(AND(LEN('Special Help Table'!$A471)-(LEN(SUBSTITUTE('Special Help Table'!$A471,";","")))=0,LEN('Special Help Table'!$A471)-LEN(SUBSTITUTE('Special Help Table'!$A471,",",""))=1,LEN('Special Help Table'!$A471)-LEN(SUBSTITUTE('Special Help Table'!$A471,"and ",""))=0),MID('Special Help Table'!$A471&amp;" "&amp;'Special Help Table'!$A471,SEARCH(", ",'Special Help Table'!$A471)+1,LEN('Special Help Table'!$A471)),AND(LEN('Special Help Table'!$A471)-(LEN(SUBSTITUTE('Special Help Table'!$A471,";","")))=1,LEN('Special Help Table'!$A471)-LEN(SUBSTITUTE('Special Help Table'!$A471,"and ",""))=0),MID('Special Help Table'!$A471,SEARCH(",",'Special Help Table'!$A471)+1,(SEARCH(";",'Special Help Table'!$A471)-1)-SEARCH(",",'Special Help Table'!$A471))&amp;" "&amp;LEFT('Special Help Table'!$A471,SEARCH(",",'Special Help Table'!$A471)-1)&amp;";"&amp;RIGHT('Special Help Table'!$A471,LEN('Special Help Table'!$A471)-SEARCH(",",'Special Help Table'!$A471,SEARCH(";",'Special Help Table'!$A471)))&amp;" "&amp;MID('Special Help Table'!$A471,SEARCH("; ",'Special Help Table'!$A471)+2,SEARCH(",",'Special Help Table'!$A471,SEARCH(";",'Special Help Table'!$A471))-SEARCH(";",'Special Help Table'!$A471)-2),AND(LEN('Special Help Table'!$A471)-LEN(SUBSTITUTE('Special Help Table'!$A471,"and ",""))=0,LEN('Special Help Table'!$A471)-LEN(SUBSTITUTE('Special Help Table'!$A471,";",""))=0),'Special Help Table'!$A471,AND(LEN('Special Help Table'!$A471)-LEN(SUBSTITUTE('Special Help Table'!$A471,",","")=1),LEN('Special Help Table'!$A471)-LEN(SUBSTITUTE('Special Help Table'!$A471," ","")=20),LEN('Special Help Table'!$A471)-LEN(SUBSTITUTE('Special Help Table'!$A471," and",""))=0,LEN('Special Help Table'!$A471)-LEN(SUBSTITUTE('Special Help Table'!$A471,",","",FIND(" ",'Special Help Table'!$A471)+1))=0),RIGHT('Special Help Table'!$A471,LEN('Special Help Table'!$A471)-FIND(", ",'Special Help Table'!$A471))&amp;" "&amp;LEFT('Special Help Table'!$A471,FIND(",",'Special Help Table'!$A471)-1),AND(LEN('Special Help Table'!$A471)-LEN(SUBSTITUTE('Special Help Table'!$A471,"editor",""))=6,LEN('Special Help Table'!$A471)-LEN(SUBSTITUTE('Special Help Table'!$A471,"(",""))=0,LEN('Special Help Table'!$A471)-LEN(SUBSTITUTE('Special Help Table'!$A471,"and",""))=3,LEN('Special Help Table'!$A471)-LEN(SUBSTITUTE('Special Help Table'!$A471,",",""))=1,LEN('Special Help Table'!$A471)-LEN(SUBSTITUTE('Special Help Table'!$A471," ",""))=3),'Special Help Table'!$A471)</f>
        <v xml:space="preserve"> Kenneth A Meyers</v>
      </c>
      <c r="C471" s="4" t="s">
        <v>902</v>
      </c>
      <c r="D471" s="2"/>
      <c r="E471" s="2" t="s">
        <v>16</v>
      </c>
      <c r="F471" s="2" t="s">
        <v>20</v>
      </c>
      <c r="G471" s="2"/>
      <c r="H471" s="2"/>
      <c r="I471" s="2"/>
      <c r="J471" s="2" t="s">
        <v>903</v>
      </c>
      <c r="K471" s="3">
        <v>40036</v>
      </c>
      <c r="L471" s="2"/>
      <c r="M471" s="2"/>
      <c r="N471" s="2" t="s">
        <v>18</v>
      </c>
    </row>
    <row r="472" spans="1:14" ht="15.75" customHeight="1" x14ac:dyDescent="0.35">
      <c r="A472" s="2" t="s">
        <v>904</v>
      </c>
      <c r="B472" s="2" t="str" cm="1">
        <f t="array" ref="B472">_xlfn.IFS(AND(LEN('Special Help Table'!$A472)-(LEN(SUBSTITUTE('Special Help Table'!$A472,";","")))=0,LEN('Special Help Table'!$A472)-LEN(SUBSTITUTE('Special Help Table'!$A472,",",""))=1,LEN('Special Help Table'!$A472)-LEN(SUBSTITUTE('Special Help Table'!$A472,"and ",""))=0),MID('Special Help Table'!$A472&amp;" "&amp;'Special Help Table'!$A472,SEARCH(", ",'Special Help Table'!$A472)+1,LEN('Special Help Table'!$A472)),AND(LEN('Special Help Table'!$A472)-(LEN(SUBSTITUTE('Special Help Table'!$A472,";","")))=1,LEN('Special Help Table'!$A472)-LEN(SUBSTITUTE('Special Help Table'!$A472,"and ",""))=0),MID('Special Help Table'!$A472,SEARCH(",",'Special Help Table'!$A472)+1,(SEARCH(";",'Special Help Table'!$A472)-1)-SEARCH(",",'Special Help Table'!$A472))&amp;" "&amp;LEFT('Special Help Table'!$A472,SEARCH(",",'Special Help Table'!$A472)-1)&amp;";"&amp;RIGHT('Special Help Table'!$A472,LEN('Special Help Table'!$A472)-SEARCH(",",'Special Help Table'!$A472,SEARCH(";",'Special Help Table'!$A472)))&amp;" "&amp;MID('Special Help Table'!$A472,SEARCH("; ",'Special Help Table'!$A472)+2,SEARCH(",",'Special Help Table'!$A472,SEARCH(";",'Special Help Table'!$A472))-SEARCH(";",'Special Help Table'!$A472)-2),AND(LEN('Special Help Table'!$A472)-LEN(SUBSTITUTE('Special Help Table'!$A472,"and ",""))=0,LEN('Special Help Table'!$A472)-LEN(SUBSTITUTE('Special Help Table'!$A472,";",""))=0),'Special Help Table'!$A472,AND(LEN('Special Help Table'!$A472)-LEN(SUBSTITUTE('Special Help Table'!$A472,",","")=1),LEN('Special Help Table'!$A472)-LEN(SUBSTITUTE('Special Help Table'!$A472," ","")=20),LEN('Special Help Table'!$A472)-LEN(SUBSTITUTE('Special Help Table'!$A472," and",""))=0,LEN('Special Help Table'!$A472)-LEN(SUBSTITUTE('Special Help Table'!$A472,",","",FIND(" ",'Special Help Table'!$A472)+1))=0),RIGHT('Special Help Table'!$A472,LEN('Special Help Table'!$A472)-FIND(", ",'Special Help Table'!$A472))&amp;" "&amp;LEFT('Special Help Table'!$A472,FIND(",",'Special Help Table'!$A472)-1),AND(LEN('Special Help Table'!$A472)-LEN(SUBSTITUTE('Special Help Table'!$A472,"editor",""))=6,LEN('Special Help Table'!$A472)-LEN(SUBSTITUTE('Special Help Table'!$A472,"(",""))=0,LEN('Special Help Table'!$A472)-LEN(SUBSTITUTE('Special Help Table'!$A472,"and",""))=3,LEN('Special Help Table'!$A472)-LEN(SUBSTITUTE('Special Help Table'!$A472,",",""))=1,LEN('Special Help Table'!$A472)-LEN(SUBSTITUTE('Special Help Table'!$A472," ",""))=3),'Special Help Table'!$A472)</f>
        <v xml:space="preserve"> Sally Michael</v>
      </c>
      <c r="C472" s="4" t="s">
        <v>905</v>
      </c>
      <c r="D472" s="2"/>
      <c r="E472" s="2" t="s">
        <v>16</v>
      </c>
      <c r="F472" s="2" t="s">
        <v>72</v>
      </c>
      <c r="G472" s="2"/>
      <c r="H472" s="2"/>
      <c r="I472" s="2"/>
      <c r="J472" s="2"/>
      <c r="K472" s="3">
        <v>43211</v>
      </c>
      <c r="L472" s="2"/>
      <c r="M472" s="2"/>
      <c r="N472" s="2" t="s">
        <v>18</v>
      </c>
    </row>
    <row r="473" spans="1:14" ht="15.75" customHeight="1" x14ac:dyDescent="0.35">
      <c r="A473" s="2" t="s">
        <v>904</v>
      </c>
      <c r="B473" s="2" t="str" cm="1">
        <f t="array" ref="B473">_xlfn.IFS(AND(LEN('Special Help Table'!$A473)-(LEN(SUBSTITUTE('Special Help Table'!$A473,";","")))=0,LEN('Special Help Table'!$A473)-LEN(SUBSTITUTE('Special Help Table'!$A473,",",""))=1,LEN('Special Help Table'!$A473)-LEN(SUBSTITUTE('Special Help Table'!$A473,"and ",""))=0),MID('Special Help Table'!$A473&amp;" "&amp;'Special Help Table'!$A473,SEARCH(", ",'Special Help Table'!$A473)+1,LEN('Special Help Table'!$A473)),AND(LEN('Special Help Table'!$A473)-(LEN(SUBSTITUTE('Special Help Table'!$A473,";","")))=1,LEN('Special Help Table'!$A473)-LEN(SUBSTITUTE('Special Help Table'!$A473,"and ",""))=0),MID('Special Help Table'!$A473,SEARCH(",",'Special Help Table'!$A473)+1,(SEARCH(";",'Special Help Table'!$A473)-1)-SEARCH(",",'Special Help Table'!$A473))&amp;" "&amp;LEFT('Special Help Table'!$A473,SEARCH(",",'Special Help Table'!$A473)-1)&amp;";"&amp;RIGHT('Special Help Table'!$A473,LEN('Special Help Table'!$A473)-SEARCH(",",'Special Help Table'!$A473,SEARCH(";",'Special Help Table'!$A473)))&amp;" "&amp;MID('Special Help Table'!$A473,SEARCH("; ",'Special Help Table'!$A473)+2,SEARCH(",",'Special Help Table'!$A473,SEARCH(";",'Special Help Table'!$A473))-SEARCH(";",'Special Help Table'!$A473)-2),AND(LEN('Special Help Table'!$A473)-LEN(SUBSTITUTE('Special Help Table'!$A473,"and ",""))=0,LEN('Special Help Table'!$A473)-LEN(SUBSTITUTE('Special Help Table'!$A473,";",""))=0),'Special Help Table'!$A473,AND(LEN('Special Help Table'!$A473)-LEN(SUBSTITUTE('Special Help Table'!$A473,",","")=1),LEN('Special Help Table'!$A473)-LEN(SUBSTITUTE('Special Help Table'!$A473," ","")=20),LEN('Special Help Table'!$A473)-LEN(SUBSTITUTE('Special Help Table'!$A473," and",""))=0,LEN('Special Help Table'!$A473)-LEN(SUBSTITUTE('Special Help Table'!$A473,",","",FIND(" ",'Special Help Table'!$A473)+1))=0),RIGHT('Special Help Table'!$A473,LEN('Special Help Table'!$A473)-FIND(", ",'Special Help Table'!$A473))&amp;" "&amp;LEFT('Special Help Table'!$A473,FIND(",",'Special Help Table'!$A473)-1),AND(LEN('Special Help Table'!$A473)-LEN(SUBSTITUTE('Special Help Table'!$A473,"editor",""))=6,LEN('Special Help Table'!$A473)-LEN(SUBSTITUTE('Special Help Table'!$A473,"(",""))=0,LEN('Special Help Table'!$A473)-LEN(SUBSTITUTE('Special Help Table'!$A473,"and",""))=3,LEN('Special Help Table'!$A473)-LEN(SUBSTITUTE('Special Help Table'!$A473,",",""))=1,LEN('Special Help Table'!$A473)-LEN(SUBSTITUTE('Special Help Table'!$A473," ",""))=3),'Special Help Table'!$A473)</f>
        <v xml:space="preserve"> Sally Michael</v>
      </c>
      <c r="C473" s="4" t="s">
        <v>906</v>
      </c>
      <c r="D473" s="2"/>
      <c r="E473" s="2" t="s">
        <v>16</v>
      </c>
      <c r="F473" s="2" t="s">
        <v>72</v>
      </c>
      <c r="G473" s="2"/>
      <c r="H473" s="2"/>
      <c r="I473" s="2"/>
      <c r="J473" s="2"/>
      <c r="K473" s="3">
        <v>41225</v>
      </c>
      <c r="L473" s="2"/>
      <c r="M473" s="2"/>
      <c r="N473" s="2" t="s">
        <v>18</v>
      </c>
    </row>
    <row r="474" spans="1:14" ht="15.75" customHeight="1" x14ac:dyDescent="0.35">
      <c r="A474" s="2" t="s">
        <v>904</v>
      </c>
      <c r="B474" s="2" t="str" cm="1">
        <f t="array" ref="B474">_xlfn.IFS(AND(LEN('Special Help Table'!$A474)-(LEN(SUBSTITUTE('Special Help Table'!$A474,";","")))=0,LEN('Special Help Table'!$A474)-LEN(SUBSTITUTE('Special Help Table'!$A474,",",""))=1,LEN('Special Help Table'!$A474)-LEN(SUBSTITUTE('Special Help Table'!$A474,"and ",""))=0),MID('Special Help Table'!$A474&amp;" "&amp;'Special Help Table'!$A474,SEARCH(", ",'Special Help Table'!$A474)+1,LEN('Special Help Table'!$A474)),AND(LEN('Special Help Table'!$A474)-(LEN(SUBSTITUTE('Special Help Table'!$A474,";","")))=1,LEN('Special Help Table'!$A474)-LEN(SUBSTITUTE('Special Help Table'!$A474,"and ",""))=0),MID('Special Help Table'!$A474,SEARCH(",",'Special Help Table'!$A474)+1,(SEARCH(";",'Special Help Table'!$A474)-1)-SEARCH(",",'Special Help Table'!$A474))&amp;" "&amp;LEFT('Special Help Table'!$A474,SEARCH(",",'Special Help Table'!$A474)-1)&amp;";"&amp;RIGHT('Special Help Table'!$A474,LEN('Special Help Table'!$A474)-SEARCH(",",'Special Help Table'!$A474,SEARCH(";",'Special Help Table'!$A474)))&amp;" "&amp;MID('Special Help Table'!$A474,SEARCH("; ",'Special Help Table'!$A474)+2,SEARCH(",",'Special Help Table'!$A474,SEARCH(";",'Special Help Table'!$A474))-SEARCH(";",'Special Help Table'!$A474)-2),AND(LEN('Special Help Table'!$A474)-LEN(SUBSTITUTE('Special Help Table'!$A474,"and ",""))=0,LEN('Special Help Table'!$A474)-LEN(SUBSTITUTE('Special Help Table'!$A474,";",""))=0),'Special Help Table'!$A474,AND(LEN('Special Help Table'!$A474)-LEN(SUBSTITUTE('Special Help Table'!$A474,",","")=1),LEN('Special Help Table'!$A474)-LEN(SUBSTITUTE('Special Help Table'!$A474," ","")=20),LEN('Special Help Table'!$A474)-LEN(SUBSTITUTE('Special Help Table'!$A474," and",""))=0,LEN('Special Help Table'!$A474)-LEN(SUBSTITUTE('Special Help Table'!$A474,",","",FIND(" ",'Special Help Table'!$A474)+1))=0),RIGHT('Special Help Table'!$A474,LEN('Special Help Table'!$A474)-FIND(", ",'Special Help Table'!$A474))&amp;" "&amp;LEFT('Special Help Table'!$A474,FIND(",",'Special Help Table'!$A474)-1),AND(LEN('Special Help Table'!$A474)-LEN(SUBSTITUTE('Special Help Table'!$A474,"editor",""))=6,LEN('Special Help Table'!$A474)-LEN(SUBSTITUTE('Special Help Table'!$A474,"(",""))=0,LEN('Special Help Table'!$A474)-LEN(SUBSTITUTE('Special Help Table'!$A474,"and",""))=3,LEN('Special Help Table'!$A474)-LEN(SUBSTITUTE('Special Help Table'!$A474,",",""))=1,LEN('Special Help Table'!$A474)-LEN(SUBSTITUTE('Special Help Table'!$A474," ",""))=3),'Special Help Table'!$A474)</f>
        <v xml:space="preserve"> Sally Michael</v>
      </c>
      <c r="C474" s="4" t="s">
        <v>907</v>
      </c>
      <c r="D474" s="2"/>
      <c r="E474" s="2" t="s">
        <v>16</v>
      </c>
      <c r="F474" s="2" t="s">
        <v>72</v>
      </c>
      <c r="G474" s="2"/>
      <c r="H474" s="2"/>
      <c r="I474" s="2"/>
      <c r="J474" s="2"/>
      <c r="K474" s="3">
        <v>41225</v>
      </c>
      <c r="L474" s="2"/>
      <c r="M474" s="2"/>
      <c r="N474" s="2" t="s">
        <v>18</v>
      </c>
    </row>
    <row r="475" spans="1:14" ht="15.75" customHeight="1" x14ac:dyDescent="0.35">
      <c r="A475" s="2" t="s">
        <v>904</v>
      </c>
      <c r="B475" s="2" t="str" cm="1">
        <f t="array" ref="B475">_xlfn.IFS(AND(LEN('Special Help Table'!$A475)-(LEN(SUBSTITUTE('Special Help Table'!$A475,";","")))=0,LEN('Special Help Table'!$A475)-LEN(SUBSTITUTE('Special Help Table'!$A475,",",""))=1,LEN('Special Help Table'!$A475)-LEN(SUBSTITUTE('Special Help Table'!$A475,"and ",""))=0),MID('Special Help Table'!$A475&amp;" "&amp;'Special Help Table'!$A475,SEARCH(", ",'Special Help Table'!$A475)+1,LEN('Special Help Table'!$A475)),AND(LEN('Special Help Table'!$A475)-(LEN(SUBSTITUTE('Special Help Table'!$A475,";","")))=1,LEN('Special Help Table'!$A475)-LEN(SUBSTITUTE('Special Help Table'!$A475,"and ",""))=0),MID('Special Help Table'!$A475,SEARCH(",",'Special Help Table'!$A475)+1,(SEARCH(";",'Special Help Table'!$A475)-1)-SEARCH(",",'Special Help Table'!$A475))&amp;" "&amp;LEFT('Special Help Table'!$A475,SEARCH(",",'Special Help Table'!$A475)-1)&amp;";"&amp;RIGHT('Special Help Table'!$A475,LEN('Special Help Table'!$A475)-SEARCH(",",'Special Help Table'!$A475,SEARCH(";",'Special Help Table'!$A475)))&amp;" "&amp;MID('Special Help Table'!$A475,SEARCH("; ",'Special Help Table'!$A475)+2,SEARCH(",",'Special Help Table'!$A475,SEARCH(";",'Special Help Table'!$A475))-SEARCH(";",'Special Help Table'!$A475)-2),AND(LEN('Special Help Table'!$A475)-LEN(SUBSTITUTE('Special Help Table'!$A475,"and ",""))=0,LEN('Special Help Table'!$A475)-LEN(SUBSTITUTE('Special Help Table'!$A475,";",""))=0),'Special Help Table'!$A475,AND(LEN('Special Help Table'!$A475)-LEN(SUBSTITUTE('Special Help Table'!$A475,",","")=1),LEN('Special Help Table'!$A475)-LEN(SUBSTITUTE('Special Help Table'!$A475," ","")=20),LEN('Special Help Table'!$A475)-LEN(SUBSTITUTE('Special Help Table'!$A475," and",""))=0,LEN('Special Help Table'!$A475)-LEN(SUBSTITUTE('Special Help Table'!$A475,",","",FIND(" ",'Special Help Table'!$A475)+1))=0),RIGHT('Special Help Table'!$A475,LEN('Special Help Table'!$A475)-FIND(", ",'Special Help Table'!$A475))&amp;" "&amp;LEFT('Special Help Table'!$A475,FIND(",",'Special Help Table'!$A475)-1),AND(LEN('Special Help Table'!$A475)-LEN(SUBSTITUTE('Special Help Table'!$A475,"editor",""))=6,LEN('Special Help Table'!$A475)-LEN(SUBSTITUTE('Special Help Table'!$A475,"(",""))=0,LEN('Special Help Table'!$A475)-LEN(SUBSTITUTE('Special Help Table'!$A475,"and",""))=3,LEN('Special Help Table'!$A475)-LEN(SUBSTITUTE('Special Help Table'!$A475,",",""))=1,LEN('Special Help Table'!$A475)-LEN(SUBSTITUTE('Special Help Table'!$A475," ",""))=3),'Special Help Table'!$A475)</f>
        <v xml:space="preserve"> Sally Michael</v>
      </c>
      <c r="C475" s="4" t="s">
        <v>908</v>
      </c>
      <c r="D475" s="2"/>
      <c r="E475" s="2" t="s">
        <v>16</v>
      </c>
      <c r="F475" s="2" t="s">
        <v>72</v>
      </c>
      <c r="G475" s="2"/>
      <c r="H475" s="2"/>
      <c r="I475" s="2"/>
      <c r="J475" s="2"/>
      <c r="K475" s="3">
        <v>43211</v>
      </c>
      <c r="L475" s="2"/>
      <c r="M475" s="2"/>
      <c r="N475" s="2" t="s">
        <v>18</v>
      </c>
    </row>
    <row r="476" spans="1:14" ht="15.75" customHeight="1" x14ac:dyDescent="0.35">
      <c r="A476" s="2" t="s">
        <v>904</v>
      </c>
      <c r="B476" s="2" t="str" cm="1">
        <f t="array" ref="B476">_xlfn.IFS(AND(LEN('Special Help Table'!$A476)-(LEN(SUBSTITUTE('Special Help Table'!$A476,";","")))=0,LEN('Special Help Table'!$A476)-LEN(SUBSTITUTE('Special Help Table'!$A476,",",""))=1,LEN('Special Help Table'!$A476)-LEN(SUBSTITUTE('Special Help Table'!$A476,"and ",""))=0),MID('Special Help Table'!$A476&amp;" "&amp;'Special Help Table'!$A476,SEARCH(", ",'Special Help Table'!$A476)+1,LEN('Special Help Table'!$A476)),AND(LEN('Special Help Table'!$A476)-(LEN(SUBSTITUTE('Special Help Table'!$A476,";","")))=1,LEN('Special Help Table'!$A476)-LEN(SUBSTITUTE('Special Help Table'!$A476,"and ",""))=0),MID('Special Help Table'!$A476,SEARCH(",",'Special Help Table'!$A476)+1,(SEARCH(";",'Special Help Table'!$A476)-1)-SEARCH(",",'Special Help Table'!$A476))&amp;" "&amp;LEFT('Special Help Table'!$A476,SEARCH(",",'Special Help Table'!$A476)-1)&amp;";"&amp;RIGHT('Special Help Table'!$A476,LEN('Special Help Table'!$A476)-SEARCH(",",'Special Help Table'!$A476,SEARCH(";",'Special Help Table'!$A476)))&amp;" "&amp;MID('Special Help Table'!$A476,SEARCH("; ",'Special Help Table'!$A476)+2,SEARCH(",",'Special Help Table'!$A476,SEARCH(";",'Special Help Table'!$A476))-SEARCH(";",'Special Help Table'!$A476)-2),AND(LEN('Special Help Table'!$A476)-LEN(SUBSTITUTE('Special Help Table'!$A476,"and ",""))=0,LEN('Special Help Table'!$A476)-LEN(SUBSTITUTE('Special Help Table'!$A476,";",""))=0),'Special Help Table'!$A476,AND(LEN('Special Help Table'!$A476)-LEN(SUBSTITUTE('Special Help Table'!$A476,",","")=1),LEN('Special Help Table'!$A476)-LEN(SUBSTITUTE('Special Help Table'!$A476," ","")=20),LEN('Special Help Table'!$A476)-LEN(SUBSTITUTE('Special Help Table'!$A476," and",""))=0,LEN('Special Help Table'!$A476)-LEN(SUBSTITUTE('Special Help Table'!$A476,",","",FIND(" ",'Special Help Table'!$A476)+1))=0),RIGHT('Special Help Table'!$A476,LEN('Special Help Table'!$A476)-FIND(", ",'Special Help Table'!$A476))&amp;" "&amp;LEFT('Special Help Table'!$A476,FIND(",",'Special Help Table'!$A476)-1),AND(LEN('Special Help Table'!$A476)-LEN(SUBSTITUTE('Special Help Table'!$A476,"editor",""))=6,LEN('Special Help Table'!$A476)-LEN(SUBSTITUTE('Special Help Table'!$A476,"(",""))=0,LEN('Special Help Table'!$A476)-LEN(SUBSTITUTE('Special Help Table'!$A476,"and",""))=3,LEN('Special Help Table'!$A476)-LEN(SUBSTITUTE('Special Help Table'!$A476,",",""))=1,LEN('Special Help Table'!$A476)-LEN(SUBSTITUTE('Special Help Table'!$A476," ",""))=3),'Special Help Table'!$A476)</f>
        <v xml:space="preserve"> Sally Michael</v>
      </c>
      <c r="C476" s="4" t="s">
        <v>909</v>
      </c>
      <c r="D476" s="2"/>
      <c r="E476" s="2" t="s">
        <v>16</v>
      </c>
      <c r="F476" s="2" t="s">
        <v>72</v>
      </c>
      <c r="G476" s="2"/>
      <c r="H476" s="2"/>
      <c r="I476" s="2"/>
      <c r="J476" s="2"/>
      <c r="K476" s="3">
        <v>44772</v>
      </c>
      <c r="L476" s="2"/>
      <c r="M476" s="2"/>
      <c r="N476" s="2" t="s">
        <v>18</v>
      </c>
    </row>
    <row r="477" spans="1:14" ht="15.75" customHeight="1" x14ac:dyDescent="0.35">
      <c r="A477" s="2" t="s">
        <v>910</v>
      </c>
      <c r="B477" s="2" t="str" cm="1">
        <f t="array" ref="B477">_xlfn.IFS(AND(LEN('Special Help Table'!$A477)-(LEN(SUBSTITUTE('Special Help Table'!$A477,";","")))=0,LEN('Special Help Table'!$A477)-LEN(SUBSTITUTE('Special Help Table'!$A477,",",""))=1,LEN('Special Help Table'!$A477)-LEN(SUBSTITUTE('Special Help Table'!$A477,"and ",""))=0),MID('Special Help Table'!$A477&amp;" "&amp;'Special Help Table'!$A477,SEARCH(", ",'Special Help Table'!$A477)+1,LEN('Special Help Table'!$A477)),AND(LEN('Special Help Table'!$A477)-(LEN(SUBSTITUTE('Special Help Table'!$A477,";","")))=1,LEN('Special Help Table'!$A477)-LEN(SUBSTITUTE('Special Help Table'!$A477,"and ",""))=0),MID('Special Help Table'!$A477,SEARCH(",",'Special Help Table'!$A477)+1,(SEARCH(";",'Special Help Table'!$A477)-1)-SEARCH(",",'Special Help Table'!$A477))&amp;" "&amp;LEFT('Special Help Table'!$A477,SEARCH(",",'Special Help Table'!$A477)-1)&amp;";"&amp;RIGHT('Special Help Table'!$A477,LEN('Special Help Table'!$A477)-SEARCH(",",'Special Help Table'!$A477,SEARCH(";",'Special Help Table'!$A477)))&amp;" "&amp;MID('Special Help Table'!$A477,SEARCH("; ",'Special Help Table'!$A477)+2,SEARCH(",",'Special Help Table'!$A477,SEARCH(";",'Special Help Table'!$A477))-SEARCH(";",'Special Help Table'!$A477)-2),AND(LEN('Special Help Table'!$A477)-LEN(SUBSTITUTE('Special Help Table'!$A477,"and ",""))=0,LEN('Special Help Table'!$A477)-LEN(SUBSTITUTE('Special Help Table'!$A477,";",""))=0),'Special Help Table'!$A477,AND(LEN('Special Help Table'!$A477)-LEN(SUBSTITUTE('Special Help Table'!$A477,",","")=1),LEN('Special Help Table'!$A477)-LEN(SUBSTITUTE('Special Help Table'!$A477," ","")=20),LEN('Special Help Table'!$A477)-LEN(SUBSTITUTE('Special Help Table'!$A477," and",""))=0,LEN('Special Help Table'!$A477)-LEN(SUBSTITUTE('Special Help Table'!$A477,",","",FIND(" ",'Special Help Table'!$A477)+1))=0),RIGHT('Special Help Table'!$A477,LEN('Special Help Table'!$A477)-FIND(", ",'Special Help Table'!$A477))&amp;" "&amp;LEFT('Special Help Table'!$A477,FIND(",",'Special Help Table'!$A477)-1),AND(LEN('Special Help Table'!$A477)-LEN(SUBSTITUTE('Special Help Table'!$A477,"editor",""))=6,LEN('Special Help Table'!$A477)-LEN(SUBSTITUTE('Special Help Table'!$A477,"(",""))=0,LEN('Special Help Table'!$A477)-LEN(SUBSTITUTE('Special Help Table'!$A477,"and",""))=3,LEN('Special Help Table'!$A477)-LEN(SUBSTITUTE('Special Help Table'!$A477,",",""))=1,LEN('Special Help Table'!$A477)-LEN(SUBSTITUTE('Special Help Table'!$A477," ",""))=3),'Special Help Table'!$A477)</f>
        <v xml:space="preserve"> Gary Millar</v>
      </c>
      <c r="C477" s="4" t="s">
        <v>911</v>
      </c>
      <c r="D477" s="2"/>
      <c r="E477" s="2" t="s">
        <v>16</v>
      </c>
      <c r="F477" s="2" t="s">
        <v>36</v>
      </c>
      <c r="G477" s="2"/>
      <c r="H477" s="2"/>
      <c r="I477" s="2"/>
      <c r="J477" s="2"/>
      <c r="K477" s="3">
        <v>43872</v>
      </c>
      <c r="L477" s="2"/>
      <c r="M477" s="2"/>
      <c r="N477" s="2" t="s">
        <v>18</v>
      </c>
    </row>
    <row r="478" spans="1:14" ht="15.75" customHeight="1" x14ac:dyDescent="0.35">
      <c r="A478" s="2" t="s">
        <v>912</v>
      </c>
      <c r="B478" s="2" t="str" cm="1">
        <f t="array" ref="B478">_xlfn.IFS(AND(LEN('Special Help Table'!$A478)-(LEN(SUBSTITUTE('Special Help Table'!$A478,";","")))=0,LEN('Special Help Table'!$A478)-LEN(SUBSTITUTE('Special Help Table'!$A478,",",""))=1,LEN('Special Help Table'!$A478)-LEN(SUBSTITUTE('Special Help Table'!$A478,"and ",""))=0),MID('Special Help Table'!$A478&amp;" "&amp;'Special Help Table'!$A478,SEARCH(", ",'Special Help Table'!$A478)+1,LEN('Special Help Table'!$A478)),AND(LEN('Special Help Table'!$A478)-(LEN(SUBSTITUTE('Special Help Table'!$A478,";","")))=1,LEN('Special Help Table'!$A478)-LEN(SUBSTITUTE('Special Help Table'!$A478,"and ",""))=0),MID('Special Help Table'!$A478,SEARCH(",",'Special Help Table'!$A478)+1,(SEARCH(";",'Special Help Table'!$A478)-1)-SEARCH(",",'Special Help Table'!$A478))&amp;" "&amp;LEFT('Special Help Table'!$A478,SEARCH(",",'Special Help Table'!$A478)-1)&amp;";"&amp;RIGHT('Special Help Table'!$A478,LEN('Special Help Table'!$A478)-SEARCH(",",'Special Help Table'!$A478,SEARCH(";",'Special Help Table'!$A478)))&amp;" "&amp;MID('Special Help Table'!$A478,SEARCH("; ",'Special Help Table'!$A478)+2,SEARCH(",",'Special Help Table'!$A478,SEARCH(";",'Special Help Table'!$A478))-SEARCH(";",'Special Help Table'!$A478)-2),AND(LEN('Special Help Table'!$A478)-LEN(SUBSTITUTE('Special Help Table'!$A478,"and ",""))=0,LEN('Special Help Table'!$A478)-LEN(SUBSTITUTE('Special Help Table'!$A478,";",""))=0),'Special Help Table'!$A478,AND(LEN('Special Help Table'!$A478)-LEN(SUBSTITUTE('Special Help Table'!$A478,",","")=1),LEN('Special Help Table'!$A478)-LEN(SUBSTITUTE('Special Help Table'!$A478," ","")=20),LEN('Special Help Table'!$A478)-LEN(SUBSTITUTE('Special Help Table'!$A478," and",""))=0,LEN('Special Help Table'!$A478)-LEN(SUBSTITUTE('Special Help Table'!$A478,",","",FIND(" ",'Special Help Table'!$A478)+1))=0),RIGHT('Special Help Table'!$A478,LEN('Special Help Table'!$A478)-FIND(", ",'Special Help Table'!$A478))&amp;" "&amp;LEFT('Special Help Table'!$A478,FIND(",",'Special Help Table'!$A478)-1),AND(LEN('Special Help Table'!$A478)-LEN(SUBSTITUTE('Special Help Table'!$A478,"editor",""))=6,LEN('Special Help Table'!$A478)-LEN(SUBSTITUTE('Special Help Table'!$A478,"(",""))=0,LEN('Special Help Table'!$A478)-LEN(SUBSTITUTE('Special Help Table'!$A478,"and",""))=3,LEN('Special Help Table'!$A478)-LEN(SUBSTITUTE('Special Help Table'!$A478,",",""))=1,LEN('Special Help Table'!$A478)-LEN(SUBSTITUTE('Special Help Table'!$A478," ",""))=3),'Special Help Table'!$A478)</f>
        <v xml:space="preserve"> Basil Miller</v>
      </c>
      <c r="C478" s="4" t="s">
        <v>913</v>
      </c>
      <c r="D478" s="2"/>
      <c r="E478" s="2" t="s">
        <v>16</v>
      </c>
      <c r="F478" s="2" t="s">
        <v>39</v>
      </c>
      <c r="G478" s="2"/>
      <c r="H478" s="2"/>
      <c r="I478" s="2"/>
      <c r="J478" s="2"/>
      <c r="K478" s="3">
        <v>40037</v>
      </c>
      <c r="L478" s="2"/>
      <c r="M478" s="2"/>
      <c r="N478" s="2" t="s">
        <v>18</v>
      </c>
    </row>
    <row r="479" spans="1:14" ht="15.75" customHeight="1" x14ac:dyDescent="0.35">
      <c r="A479" s="2" t="s">
        <v>912</v>
      </c>
      <c r="B479" s="2" t="str" cm="1">
        <f t="array" ref="B479">_xlfn.IFS(AND(LEN('Special Help Table'!$A479)-(LEN(SUBSTITUTE('Special Help Table'!$A479,";","")))=0,LEN('Special Help Table'!$A479)-LEN(SUBSTITUTE('Special Help Table'!$A479,",",""))=1,LEN('Special Help Table'!$A479)-LEN(SUBSTITUTE('Special Help Table'!$A479,"and ",""))=0),MID('Special Help Table'!$A479&amp;" "&amp;'Special Help Table'!$A479,SEARCH(", ",'Special Help Table'!$A479)+1,LEN('Special Help Table'!$A479)),AND(LEN('Special Help Table'!$A479)-(LEN(SUBSTITUTE('Special Help Table'!$A479,";","")))=1,LEN('Special Help Table'!$A479)-LEN(SUBSTITUTE('Special Help Table'!$A479,"and ",""))=0),MID('Special Help Table'!$A479,SEARCH(",",'Special Help Table'!$A479)+1,(SEARCH(";",'Special Help Table'!$A479)-1)-SEARCH(",",'Special Help Table'!$A479))&amp;" "&amp;LEFT('Special Help Table'!$A479,SEARCH(",",'Special Help Table'!$A479)-1)&amp;";"&amp;RIGHT('Special Help Table'!$A479,LEN('Special Help Table'!$A479)-SEARCH(",",'Special Help Table'!$A479,SEARCH(";",'Special Help Table'!$A479)))&amp;" "&amp;MID('Special Help Table'!$A479,SEARCH("; ",'Special Help Table'!$A479)+2,SEARCH(",",'Special Help Table'!$A479,SEARCH(";",'Special Help Table'!$A479))-SEARCH(";",'Special Help Table'!$A479)-2),AND(LEN('Special Help Table'!$A479)-LEN(SUBSTITUTE('Special Help Table'!$A479,"and ",""))=0,LEN('Special Help Table'!$A479)-LEN(SUBSTITUTE('Special Help Table'!$A479,";",""))=0),'Special Help Table'!$A479,AND(LEN('Special Help Table'!$A479)-LEN(SUBSTITUTE('Special Help Table'!$A479,",","")=1),LEN('Special Help Table'!$A479)-LEN(SUBSTITUTE('Special Help Table'!$A479," ","")=20),LEN('Special Help Table'!$A479)-LEN(SUBSTITUTE('Special Help Table'!$A479," and",""))=0,LEN('Special Help Table'!$A479)-LEN(SUBSTITUTE('Special Help Table'!$A479,",","",FIND(" ",'Special Help Table'!$A479)+1))=0),RIGHT('Special Help Table'!$A479,LEN('Special Help Table'!$A479)-FIND(", ",'Special Help Table'!$A479))&amp;" "&amp;LEFT('Special Help Table'!$A479,FIND(",",'Special Help Table'!$A479)-1),AND(LEN('Special Help Table'!$A479)-LEN(SUBSTITUTE('Special Help Table'!$A479,"editor",""))=6,LEN('Special Help Table'!$A479)-LEN(SUBSTITUTE('Special Help Table'!$A479,"(",""))=0,LEN('Special Help Table'!$A479)-LEN(SUBSTITUTE('Special Help Table'!$A479,"and",""))=3,LEN('Special Help Table'!$A479)-LEN(SUBSTITUTE('Special Help Table'!$A479,",",""))=1,LEN('Special Help Table'!$A479)-LEN(SUBSTITUTE('Special Help Table'!$A479," ",""))=3),'Special Help Table'!$A479)</f>
        <v xml:space="preserve"> Basil Miller</v>
      </c>
      <c r="C479" s="4" t="s">
        <v>914</v>
      </c>
      <c r="D479" s="2"/>
      <c r="E479" s="2" t="s">
        <v>16</v>
      </c>
      <c r="F479" s="2" t="s">
        <v>39</v>
      </c>
      <c r="G479" s="2"/>
      <c r="H479" s="2"/>
      <c r="I479" s="2"/>
      <c r="J479" s="2"/>
      <c r="K479" s="3">
        <v>39934</v>
      </c>
      <c r="L479" s="2"/>
      <c r="M479" s="2"/>
      <c r="N479" s="2" t="s">
        <v>18</v>
      </c>
    </row>
    <row r="480" spans="1:14" ht="15.75" customHeight="1" x14ac:dyDescent="0.35">
      <c r="A480" s="2" t="s">
        <v>915</v>
      </c>
      <c r="B480" s="2" t="str" cm="1">
        <f t="array" ref="B480">_xlfn.IFS(AND(LEN('Special Help Table'!$A480)-(LEN(SUBSTITUTE('Special Help Table'!$A480,";","")))=0,LEN('Special Help Table'!$A480)-LEN(SUBSTITUTE('Special Help Table'!$A480,",",""))=1,LEN('Special Help Table'!$A480)-LEN(SUBSTITUTE('Special Help Table'!$A480,"and ",""))=0),MID('Special Help Table'!$A480&amp;" "&amp;'Special Help Table'!$A480,SEARCH(", ",'Special Help Table'!$A480)+1,LEN('Special Help Table'!$A480)),AND(LEN('Special Help Table'!$A480)-(LEN(SUBSTITUTE('Special Help Table'!$A480,";","")))=1,LEN('Special Help Table'!$A480)-LEN(SUBSTITUTE('Special Help Table'!$A480,"and ",""))=0),MID('Special Help Table'!$A480,SEARCH(",",'Special Help Table'!$A480)+1,(SEARCH(";",'Special Help Table'!$A480)-1)-SEARCH(",",'Special Help Table'!$A480))&amp;" "&amp;LEFT('Special Help Table'!$A480,SEARCH(",",'Special Help Table'!$A480)-1)&amp;";"&amp;RIGHT('Special Help Table'!$A480,LEN('Special Help Table'!$A480)-SEARCH(",",'Special Help Table'!$A480,SEARCH(";",'Special Help Table'!$A480)))&amp;" "&amp;MID('Special Help Table'!$A480,SEARCH("; ",'Special Help Table'!$A480)+2,SEARCH(",",'Special Help Table'!$A480,SEARCH(";",'Special Help Table'!$A480))-SEARCH(";",'Special Help Table'!$A480)-2),AND(LEN('Special Help Table'!$A480)-LEN(SUBSTITUTE('Special Help Table'!$A480,"and ",""))=0,LEN('Special Help Table'!$A480)-LEN(SUBSTITUTE('Special Help Table'!$A480,";",""))=0),'Special Help Table'!$A480,AND(LEN('Special Help Table'!$A480)-LEN(SUBSTITUTE('Special Help Table'!$A480,",","")=1),LEN('Special Help Table'!$A480)-LEN(SUBSTITUTE('Special Help Table'!$A480," ","")=20),LEN('Special Help Table'!$A480)-LEN(SUBSTITUTE('Special Help Table'!$A480," and",""))=0,LEN('Special Help Table'!$A480)-LEN(SUBSTITUTE('Special Help Table'!$A480,",","",FIND(" ",'Special Help Table'!$A480)+1))=0),RIGHT('Special Help Table'!$A480,LEN('Special Help Table'!$A480)-FIND(", ",'Special Help Table'!$A480))&amp;" "&amp;LEFT('Special Help Table'!$A480,FIND(",",'Special Help Table'!$A480)-1),AND(LEN('Special Help Table'!$A480)-LEN(SUBSTITUTE('Special Help Table'!$A480,"editor",""))=6,LEN('Special Help Table'!$A480)-LEN(SUBSTITUTE('Special Help Table'!$A480,"(",""))=0,LEN('Special Help Table'!$A480)-LEN(SUBSTITUTE('Special Help Table'!$A480,"and",""))=3,LEN('Special Help Table'!$A480)-LEN(SUBSTITUTE('Special Help Table'!$A480,",",""))=1,LEN('Special Help Table'!$A480)-LEN(SUBSTITUTE('Special Help Table'!$A480," ",""))=3),'Special Help Table'!$A480)</f>
        <v xml:space="preserve"> C. John Miller</v>
      </c>
      <c r="C480" s="4" t="s">
        <v>916</v>
      </c>
      <c r="D480" s="2"/>
      <c r="E480" s="2" t="s">
        <v>16</v>
      </c>
      <c r="F480" s="2" t="s">
        <v>36</v>
      </c>
      <c r="G480" s="2"/>
      <c r="H480" s="2" t="s">
        <v>401</v>
      </c>
      <c r="I480" s="2"/>
      <c r="J480" s="2"/>
      <c r="K480" s="3">
        <v>42019</v>
      </c>
      <c r="L480" s="2"/>
      <c r="M480" s="2"/>
      <c r="N480" s="2" t="s">
        <v>18</v>
      </c>
    </row>
    <row r="481" spans="1:14" ht="15.75" customHeight="1" x14ac:dyDescent="0.35">
      <c r="A481" s="2" t="s">
        <v>915</v>
      </c>
      <c r="B481" s="2" t="str" cm="1">
        <f t="array" ref="B481">_xlfn.IFS(AND(LEN('Special Help Table'!$A481)-(LEN(SUBSTITUTE('Special Help Table'!$A481,";","")))=0,LEN('Special Help Table'!$A481)-LEN(SUBSTITUTE('Special Help Table'!$A481,",",""))=1,LEN('Special Help Table'!$A481)-LEN(SUBSTITUTE('Special Help Table'!$A481,"and ",""))=0),MID('Special Help Table'!$A481&amp;" "&amp;'Special Help Table'!$A481,SEARCH(", ",'Special Help Table'!$A481)+1,LEN('Special Help Table'!$A481)),AND(LEN('Special Help Table'!$A481)-(LEN(SUBSTITUTE('Special Help Table'!$A481,";","")))=1,LEN('Special Help Table'!$A481)-LEN(SUBSTITUTE('Special Help Table'!$A481,"and ",""))=0),MID('Special Help Table'!$A481,SEARCH(",",'Special Help Table'!$A481)+1,(SEARCH(";",'Special Help Table'!$A481)-1)-SEARCH(",",'Special Help Table'!$A481))&amp;" "&amp;LEFT('Special Help Table'!$A481,SEARCH(",",'Special Help Table'!$A481)-1)&amp;";"&amp;RIGHT('Special Help Table'!$A481,LEN('Special Help Table'!$A481)-SEARCH(",",'Special Help Table'!$A481,SEARCH(";",'Special Help Table'!$A481)))&amp;" "&amp;MID('Special Help Table'!$A481,SEARCH("; ",'Special Help Table'!$A481)+2,SEARCH(",",'Special Help Table'!$A481,SEARCH(";",'Special Help Table'!$A481))-SEARCH(";",'Special Help Table'!$A481)-2),AND(LEN('Special Help Table'!$A481)-LEN(SUBSTITUTE('Special Help Table'!$A481,"and ",""))=0,LEN('Special Help Table'!$A481)-LEN(SUBSTITUTE('Special Help Table'!$A481,";",""))=0),'Special Help Table'!$A481,AND(LEN('Special Help Table'!$A481)-LEN(SUBSTITUTE('Special Help Table'!$A481,",","")=1),LEN('Special Help Table'!$A481)-LEN(SUBSTITUTE('Special Help Table'!$A481," ","")=20),LEN('Special Help Table'!$A481)-LEN(SUBSTITUTE('Special Help Table'!$A481," and",""))=0,LEN('Special Help Table'!$A481)-LEN(SUBSTITUTE('Special Help Table'!$A481,",","",FIND(" ",'Special Help Table'!$A481)+1))=0),RIGHT('Special Help Table'!$A481,LEN('Special Help Table'!$A481)-FIND(", ",'Special Help Table'!$A481))&amp;" "&amp;LEFT('Special Help Table'!$A481,FIND(",",'Special Help Table'!$A481)-1),AND(LEN('Special Help Table'!$A481)-LEN(SUBSTITUTE('Special Help Table'!$A481,"editor",""))=6,LEN('Special Help Table'!$A481)-LEN(SUBSTITUTE('Special Help Table'!$A481,"(",""))=0,LEN('Special Help Table'!$A481)-LEN(SUBSTITUTE('Special Help Table'!$A481,"and",""))=3,LEN('Special Help Table'!$A481)-LEN(SUBSTITUTE('Special Help Table'!$A481,",",""))=1,LEN('Special Help Table'!$A481)-LEN(SUBSTITUTE('Special Help Table'!$A481," ",""))=3),'Special Help Table'!$A481)</f>
        <v xml:space="preserve"> C. John Miller</v>
      </c>
      <c r="C481" s="4" t="s">
        <v>917</v>
      </c>
      <c r="D481" s="2"/>
      <c r="E481" s="2" t="s">
        <v>16</v>
      </c>
      <c r="F481" s="2" t="s">
        <v>33</v>
      </c>
      <c r="G481" s="2"/>
      <c r="H481" s="2"/>
      <c r="I481" s="2"/>
      <c r="J481" s="2" t="s">
        <v>52</v>
      </c>
      <c r="K481" s="3">
        <v>43211</v>
      </c>
      <c r="L481" s="2"/>
      <c r="M481" s="2"/>
      <c r="N481" s="2" t="s">
        <v>18</v>
      </c>
    </row>
    <row r="482" spans="1:14" ht="15.75" customHeight="1" x14ac:dyDescent="0.35">
      <c r="A482" s="2" t="s">
        <v>918</v>
      </c>
      <c r="B482" s="2" t="str" cm="1">
        <f t="array" ref="B482">_xlfn.IFS(AND(LEN('Special Help Table'!$A482)-(LEN(SUBSTITUTE('Special Help Table'!$A482,";","")))=0,LEN('Special Help Table'!$A482)-LEN(SUBSTITUTE('Special Help Table'!$A482,",",""))=1,LEN('Special Help Table'!$A482)-LEN(SUBSTITUTE('Special Help Table'!$A482,"and ",""))=0),MID('Special Help Table'!$A482&amp;" "&amp;'Special Help Table'!$A482,SEARCH(", ",'Special Help Table'!$A482)+1,LEN('Special Help Table'!$A482)),AND(LEN('Special Help Table'!$A482)-(LEN(SUBSTITUTE('Special Help Table'!$A482,";","")))=1,LEN('Special Help Table'!$A482)-LEN(SUBSTITUTE('Special Help Table'!$A482,"and ",""))=0),MID('Special Help Table'!$A482,SEARCH(",",'Special Help Table'!$A482)+1,(SEARCH(";",'Special Help Table'!$A482)-1)-SEARCH(",",'Special Help Table'!$A482))&amp;" "&amp;LEFT('Special Help Table'!$A482,SEARCH(",",'Special Help Table'!$A482)-1)&amp;";"&amp;RIGHT('Special Help Table'!$A482,LEN('Special Help Table'!$A482)-SEARCH(",",'Special Help Table'!$A482,SEARCH(";",'Special Help Table'!$A482)))&amp;" "&amp;MID('Special Help Table'!$A482,SEARCH("; ",'Special Help Table'!$A482)+2,SEARCH(",",'Special Help Table'!$A482,SEARCH(";",'Special Help Table'!$A482))-SEARCH(";",'Special Help Table'!$A482)-2),AND(LEN('Special Help Table'!$A482)-LEN(SUBSTITUTE('Special Help Table'!$A482,"and ",""))=0,LEN('Special Help Table'!$A482)-LEN(SUBSTITUTE('Special Help Table'!$A482,";",""))=0),'Special Help Table'!$A482,AND(LEN('Special Help Table'!$A482)-LEN(SUBSTITUTE('Special Help Table'!$A482,",","")=1),LEN('Special Help Table'!$A482)-LEN(SUBSTITUTE('Special Help Table'!$A482," ","")=20),LEN('Special Help Table'!$A482)-LEN(SUBSTITUTE('Special Help Table'!$A482," and",""))=0,LEN('Special Help Table'!$A482)-LEN(SUBSTITUTE('Special Help Table'!$A482,",","",FIND(" ",'Special Help Table'!$A482)+1))=0),RIGHT('Special Help Table'!$A482,LEN('Special Help Table'!$A482)-FIND(", ",'Special Help Table'!$A482))&amp;" "&amp;LEFT('Special Help Table'!$A482,FIND(",",'Special Help Table'!$A482)-1),AND(LEN('Special Help Table'!$A482)-LEN(SUBSTITUTE('Special Help Table'!$A482,"editor",""))=6,LEN('Special Help Table'!$A482)-LEN(SUBSTITUTE('Special Help Table'!$A482,"(",""))=0,LEN('Special Help Table'!$A482)-LEN(SUBSTITUTE('Special Help Table'!$A482,"and",""))=3,LEN('Special Help Table'!$A482)-LEN(SUBSTITUTE('Special Help Table'!$A482,",",""))=1,LEN('Special Help Table'!$A482)-LEN(SUBSTITUTE('Special Help Table'!$A482," ",""))=3),'Special Help Table'!$A482)</f>
        <v xml:space="preserve"> C. John &amp; Barbara Miller</v>
      </c>
      <c r="C482" s="4" t="s">
        <v>919</v>
      </c>
      <c r="D482" s="2"/>
      <c r="E482" s="2" t="s">
        <v>16</v>
      </c>
      <c r="F482" s="2" t="s">
        <v>17</v>
      </c>
      <c r="G482" s="2"/>
      <c r="H482" s="2"/>
      <c r="I482" s="2"/>
      <c r="J482" s="2" t="s">
        <v>655</v>
      </c>
      <c r="K482" s="3">
        <v>42309</v>
      </c>
      <c r="L482" s="2"/>
      <c r="M482" s="2"/>
      <c r="N482" s="2" t="s">
        <v>18</v>
      </c>
    </row>
    <row r="483" spans="1:14" ht="15.75" customHeight="1" x14ac:dyDescent="0.35">
      <c r="A483" s="2" t="s">
        <v>920</v>
      </c>
      <c r="B483" s="2" t="str" cm="1">
        <f t="array" ref="B483">_xlfn.IFS(AND(LEN('Special Help Table'!$A483)-(LEN(SUBSTITUTE('Special Help Table'!$A483,";","")))=0,LEN('Special Help Table'!$A483)-LEN(SUBSTITUTE('Special Help Table'!$A483,",",""))=1,LEN('Special Help Table'!$A483)-LEN(SUBSTITUTE('Special Help Table'!$A483,"and ",""))=0),MID('Special Help Table'!$A483&amp;" "&amp;'Special Help Table'!$A483,SEARCH(", ",'Special Help Table'!$A483)+1,LEN('Special Help Table'!$A483)),AND(LEN('Special Help Table'!$A483)-(LEN(SUBSTITUTE('Special Help Table'!$A483,";","")))=1,LEN('Special Help Table'!$A483)-LEN(SUBSTITUTE('Special Help Table'!$A483,"and ",""))=0),MID('Special Help Table'!$A483,SEARCH(",",'Special Help Table'!$A483)+1,(SEARCH(";",'Special Help Table'!$A483)-1)-SEARCH(",",'Special Help Table'!$A483))&amp;" "&amp;LEFT('Special Help Table'!$A483,SEARCH(",",'Special Help Table'!$A483)-1)&amp;";"&amp;RIGHT('Special Help Table'!$A483,LEN('Special Help Table'!$A483)-SEARCH(",",'Special Help Table'!$A483,SEARCH(";",'Special Help Table'!$A483)))&amp;" "&amp;MID('Special Help Table'!$A483,SEARCH("; ",'Special Help Table'!$A483)+2,SEARCH(",",'Special Help Table'!$A483,SEARCH(";",'Special Help Table'!$A483))-SEARCH(";",'Special Help Table'!$A483)-2),AND(LEN('Special Help Table'!$A483)-LEN(SUBSTITUTE('Special Help Table'!$A483,"and ",""))=0,LEN('Special Help Table'!$A483)-LEN(SUBSTITUTE('Special Help Table'!$A483,";",""))=0),'Special Help Table'!$A483,AND(LEN('Special Help Table'!$A483)-LEN(SUBSTITUTE('Special Help Table'!$A483,",","")=1),LEN('Special Help Table'!$A483)-LEN(SUBSTITUTE('Special Help Table'!$A483," ","")=20),LEN('Special Help Table'!$A483)-LEN(SUBSTITUTE('Special Help Table'!$A483," and",""))=0,LEN('Special Help Table'!$A483)-LEN(SUBSTITUTE('Special Help Table'!$A483,",","",FIND(" ",'Special Help Table'!$A483)+1))=0),RIGHT('Special Help Table'!$A483,LEN('Special Help Table'!$A483)-FIND(", ",'Special Help Table'!$A483))&amp;" "&amp;LEFT('Special Help Table'!$A483,FIND(",",'Special Help Table'!$A483)-1),AND(LEN('Special Help Table'!$A483)-LEN(SUBSTITUTE('Special Help Table'!$A483,"editor",""))=6,LEN('Special Help Table'!$A483)-LEN(SUBSTITUTE('Special Help Table'!$A483,"(",""))=0,LEN('Special Help Table'!$A483)-LEN(SUBSTITUTE('Special Help Table'!$A483,"and",""))=3,LEN('Special Help Table'!$A483)-LEN(SUBSTITUTE('Special Help Table'!$A483,",",""))=1,LEN('Special Help Table'!$A483)-LEN(SUBSTITUTE('Special Help Table'!$A483," ",""))=3),'Special Help Table'!$A483)</f>
        <v xml:space="preserve"> Paul E Miller</v>
      </c>
      <c r="C483" s="4" t="s">
        <v>921</v>
      </c>
      <c r="D483" s="2"/>
      <c r="E483" s="2" t="s">
        <v>16</v>
      </c>
      <c r="F483" s="2" t="s">
        <v>36</v>
      </c>
      <c r="G483" s="2"/>
      <c r="H483" s="2"/>
      <c r="I483" s="2"/>
      <c r="J483" s="2" t="s">
        <v>172</v>
      </c>
      <c r="K483" s="3">
        <v>40858</v>
      </c>
      <c r="L483" s="2"/>
      <c r="M483" s="2"/>
      <c r="N483" s="2" t="s">
        <v>18</v>
      </c>
    </row>
    <row r="484" spans="1:14" ht="15.75" customHeight="1" x14ac:dyDescent="0.35">
      <c r="A484" s="2" t="s">
        <v>922</v>
      </c>
      <c r="B484" s="2" t="str" cm="1">
        <f t="array" ref="B484">_xlfn.IFS(AND(LEN('Special Help Table'!$A484)-(LEN(SUBSTITUTE('Special Help Table'!$A484,";","")))=0,LEN('Special Help Table'!$A484)-LEN(SUBSTITUTE('Special Help Table'!$A484,",",""))=1,LEN('Special Help Table'!$A484)-LEN(SUBSTITUTE('Special Help Table'!$A484,"and ",""))=0),MID('Special Help Table'!$A484&amp;" "&amp;'Special Help Table'!$A484,SEARCH(", ",'Special Help Table'!$A484)+1,LEN('Special Help Table'!$A484)),AND(LEN('Special Help Table'!$A484)-(LEN(SUBSTITUTE('Special Help Table'!$A484,";","")))=1,LEN('Special Help Table'!$A484)-LEN(SUBSTITUTE('Special Help Table'!$A484,"and ",""))=0),MID('Special Help Table'!$A484,SEARCH(",",'Special Help Table'!$A484)+1,(SEARCH(";",'Special Help Table'!$A484)-1)-SEARCH(",",'Special Help Table'!$A484))&amp;" "&amp;LEFT('Special Help Table'!$A484,SEARCH(",",'Special Help Table'!$A484)-1)&amp;";"&amp;RIGHT('Special Help Table'!$A484,LEN('Special Help Table'!$A484)-SEARCH(",",'Special Help Table'!$A484,SEARCH(";",'Special Help Table'!$A484)))&amp;" "&amp;MID('Special Help Table'!$A484,SEARCH("; ",'Special Help Table'!$A484)+2,SEARCH(",",'Special Help Table'!$A484,SEARCH(";",'Special Help Table'!$A484))-SEARCH(";",'Special Help Table'!$A484)-2),AND(LEN('Special Help Table'!$A484)-LEN(SUBSTITUTE('Special Help Table'!$A484,"and ",""))=0,LEN('Special Help Table'!$A484)-LEN(SUBSTITUTE('Special Help Table'!$A484,";",""))=0),'Special Help Table'!$A484,AND(LEN('Special Help Table'!$A484)-LEN(SUBSTITUTE('Special Help Table'!$A484,",","")=1),LEN('Special Help Table'!$A484)-LEN(SUBSTITUTE('Special Help Table'!$A484," ","")=20),LEN('Special Help Table'!$A484)-LEN(SUBSTITUTE('Special Help Table'!$A484," and",""))=0,LEN('Special Help Table'!$A484)-LEN(SUBSTITUTE('Special Help Table'!$A484,",","",FIND(" ",'Special Help Table'!$A484)+1))=0),RIGHT('Special Help Table'!$A484,LEN('Special Help Table'!$A484)-FIND(", ",'Special Help Table'!$A484))&amp;" "&amp;LEFT('Special Help Table'!$A484,FIND(",",'Special Help Table'!$A484)-1),AND(LEN('Special Help Table'!$A484)-LEN(SUBSTITUTE('Special Help Table'!$A484,"editor",""))=6,LEN('Special Help Table'!$A484)-LEN(SUBSTITUTE('Special Help Table'!$A484,"(",""))=0,LEN('Special Help Table'!$A484)-LEN(SUBSTITUTE('Special Help Table'!$A484,"and",""))=3,LEN('Special Help Table'!$A484)-LEN(SUBSTITUTE('Special Help Table'!$A484,",",""))=1,LEN('Special Help Table'!$A484)-LEN(SUBSTITUTE('Special Help Table'!$A484," ",""))=3),'Special Help Table'!$A484)</f>
        <v xml:space="preserve"> Rachel Green Miller</v>
      </c>
      <c r="C484" s="4" t="s">
        <v>923</v>
      </c>
      <c r="D484" s="2"/>
      <c r="E484" s="2" t="s">
        <v>16</v>
      </c>
      <c r="F484" s="2" t="s">
        <v>17</v>
      </c>
      <c r="G484" s="2"/>
      <c r="H484" s="2"/>
      <c r="I484" s="2"/>
      <c r="J484" s="2" t="s">
        <v>924</v>
      </c>
      <c r="K484" s="3">
        <v>43832</v>
      </c>
      <c r="L484" s="2"/>
      <c r="M484" s="2"/>
      <c r="N484" s="2" t="s">
        <v>18</v>
      </c>
    </row>
    <row r="485" spans="1:14" ht="15.75" customHeight="1" x14ac:dyDescent="0.35">
      <c r="A485" s="2" t="s">
        <v>925</v>
      </c>
      <c r="B485" s="2" t="str" cm="1">
        <f t="array" ref="B485">_xlfn.IFS(AND(LEN('Special Help Table'!$A485)-(LEN(SUBSTITUTE('Special Help Table'!$A485,";","")))=0,LEN('Special Help Table'!$A485)-LEN(SUBSTITUTE('Special Help Table'!$A485,",",""))=1,LEN('Special Help Table'!$A485)-LEN(SUBSTITUTE('Special Help Table'!$A485,"and ",""))=0),MID('Special Help Table'!$A485&amp;" "&amp;'Special Help Table'!$A485,SEARCH(", ",'Special Help Table'!$A485)+1,LEN('Special Help Table'!$A485)),AND(LEN('Special Help Table'!$A485)-(LEN(SUBSTITUTE('Special Help Table'!$A485,";","")))=1,LEN('Special Help Table'!$A485)-LEN(SUBSTITUTE('Special Help Table'!$A485,"and ",""))=0),MID('Special Help Table'!$A485,SEARCH(",",'Special Help Table'!$A485)+1,(SEARCH(";",'Special Help Table'!$A485)-1)-SEARCH(",",'Special Help Table'!$A485))&amp;" "&amp;LEFT('Special Help Table'!$A485,SEARCH(",",'Special Help Table'!$A485)-1)&amp;";"&amp;RIGHT('Special Help Table'!$A485,LEN('Special Help Table'!$A485)-SEARCH(",",'Special Help Table'!$A485,SEARCH(";",'Special Help Table'!$A485)))&amp;" "&amp;MID('Special Help Table'!$A485,SEARCH("; ",'Special Help Table'!$A485)+2,SEARCH(",",'Special Help Table'!$A485,SEARCH(";",'Special Help Table'!$A485))-SEARCH(";",'Special Help Table'!$A485)-2),AND(LEN('Special Help Table'!$A485)-LEN(SUBSTITUTE('Special Help Table'!$A485,"and ",""))=0,LEN('Special Help Table'!$A485)-LEN(SUBSTITUTE('Special Help Table'!$A485,";",""))=0),'Special Help Table'!$A485,AND(LEN('Special Help Table'!$A485)-LEN(SUBSTITUTE('Special Help Table'!$A485,",","")=1),LEN('Special Help Table'!$A485)-LEN(SUBSTITUTE('Special Help Table'!$A485," ","")=20),LEN('Special Help Table'!$A485)-LEN(SUBSTITUTE('Special Help Table'!$A485," and",""))=0,LEN('Special Help Table'!$A485)-LEN(SUBSTITUTE('Special Help Table'!$A485,",","",FIND(" ",'Special Help Table'!$A485)+1))=0),RIGHT('Special Help Table'!$A485,LEN('Special Help Table'!$A485)-FIND(", ",'Special Help Table'!$A485))&amp;" "&amp;LEFT('Special Help Table'!$A485,FIND(",",'Special Help Table'!$A485)-1),AND(LEN('Special Help Table'!$A485)-LEN(SUBSTITUTE('Special Help Table'!$A485,"editor",""))=6,LEN('Special Help Table'!$A485)-LEN(SUBSTITUTE('Special Help Table'!$A485,"(",""))=0,LEN('Special Help Table'!$A485)-LEN(SUBSTITUTE('Special Help Table'!$A485,"and",""))=3,LEN('Special Help Table'!$A485)-LEN(SUBSTITUTE('Special Help Table'!$A485,",",""))=1,LEN('Special Help Table'!$A485)-LEN(SUBSTITUTE('Special Help Table'!$A485," ",""))=3),'Special Help Table'!$A485)</f>
        <v xml:space="preserve"> Rose Marie Miller</v>
      </c>
      <c r="C485" s="4" t="s">
        <v>926</v>
      </c>
      <c r="D485" s="2" t="s">
        <v>927</v>
      </c>
      <c r="E485" s="2" t="s">
        <v>16</v>
      </c>
      <c r="F485" s="2" t="s">
        <v>17</v>
      </c>
      <c r="G485" s="2"/>
      <c r="H485" s="2"/>
      <c r="I485" s="2" t="s">
        <v>100</v>
      </c>
      <c r="J485" s="2" t="s">
        <v>100</v>
      </c>
      <c r="K485" s="3">
        <v>42231</v>
      </c>
      <c r="L485" s="2"/>
      <c r="M485" s="2"/>
      <c r="N485" s="2" t="s">
        <v>18</v>
      </c>
    </row>
    <row r="486" spans="1:14" ht="15.75" customHeight="1" x14ac:dyDescent="0.35">
      <c r="A486" s="2" t="s">
        <v>925</v>
      </c>
      <c r="B486" s="2" t="str" cm="1">
        <f t="array" ref="B486">_xlfn.IFS(AND(LEN('Special Help Table'!$A486)-(LEN(SUBSTITUTE('Special Help Table'!$A486,";","")))=0,LEN('Special Help Table'!$A486)-LEN(SUBSTITUTE('Special Help Table'!$A486,",",""))=1,LEN('Special Help Table'!$A486)-LEN(SUBSTITUTE('Special Help Table'!$A486,"and ",""))=0),MID('Special Help Table'!$A486&amp;" "&amp;'Special Help Table'!$A486,SEARCH(", ",'Special Help Table'!$A486)+1,LEN('Special Help Table'!$A486)),AND(LEN('Special Help Table'!$A486)-(LEN(SUBSTITUTE('Special Help Table'!$A486,";","")))=1,LEN('Special Help Table'!$A486)-LEN(SUBSTITUTE('Special Help Table'!$A486,"and ",""))=0),MID('Special Help Table'!$A486,SEARCH(",",'Special Help Table'!$A486)+1,(SEARCH(";",'Special Help Table'!$A486)-1)-SEARCH(",",'Special Help Table'!$A486))&amp;" "&amp;LEFT('Special Help Table'!$A486,SEARCH(",",'Special Help Table'!$A486)-1)&amp;";"&amp;RIGHT('Special Help Table'!$A486,LEN('Special Help Table'!$A486)-SEARCH(",",'Special Help Table'!$A486,SEARCH(";",'Special Help Table'!$A486)))&amp;" "&amp;MID('Special Help Table'!$A486,SEARCH("; ",'Special Help Table'!$A486)+2,SEARCH(",",'Special Help Table'!$A486,SEARCH(";",'Special Help Table'!$A486))-SEARCH(";",'Special Help Table'!$A486)-2),AND(LEN('Special Help Table'!$A486)-LEN(SUBSTITUTE('Special Help Table'!$A486,"and ",""))=0,LEN('Special Help Table'!$A486)-LEN(SUBSTITUTE('Special Help Table'!$A486,";",""))=0),'Special Help Table'!$A486,AND(LEN('Special Help Table'!$A486)-LEN(SUBSTITUTE('Special Help Table'!$A486,",","")=1),LEN('Special Help Table'!$A486)-LEN(SUBSTITUTE('Special Help Table'!$A486," ","")=20),LEN('Special Help Table'!$A486)-LEN(SUBSTITUTE('Special Help Table'!$A486," and",""))=0,LEN('Special Help Table'!$A486)-LEN(SUBSTITUTE('Special Help Table'!$A486,",","",FIND(" ",'Special Help Table'!$A486)+1))=0),RIGHT('Special Help Table'!$A486,LEN('Special Help Table'!$A486)-FIND(", ",'Special Help Table'!$A486))&amp;" "&amp;LEFT('Special Help Table'!$A486,FIND(",",'Special Help Table'!$A486)-1),AND(LEN('Special Help Table'!$A486)-LEN(SUBSTITUTE('Special Help Table'!$A486,"editor",""))=6,LEN('Special Help Table'!$A486)-LEN(SUBSTITUTE('Special Help Table'!$A486,"(",""))=0,LEN('Special Help Table'!$A486)-LEN(SUBSTITUTE('Special Help Table'!$A486,"and",""))=3,LEN('Special Help Table'!$A486)-LEN(SUBSTITUTE('Special Help Table'!$A486,",",""))=1,LEN('Special Help Table'!$A486)-LEN(SUBSTITUTE('Special Help Table'!$A486," ",""))=3),'Special Help Table'!$A486)</f>
        <v xml:space="preserve"> Rose Marie Miller</v>
      </c>
      <c r="C486" s="4" t="s">
        <v>928</v>
      </c>
      <c r="D486" s="2"/>
      <c r="E486" s="2" t="s">
        <v>16</v>
      </c>
      <c r="F486" s="2" t="s">
        <v>36</v>
      </c>
      <c r="G486" s="2"/>
      <c r="H486" s="2"/>
      <c r="I486" s="2"/>
      <c r="J486" s="2"/>
      <c r="K486" s="3">
        <v>41287</v>
      </c>
      <c r="L486" s="2"/>
      <c r="M486" s="2"/>
      <c r="N486" s="2" t="s">
        <v>18</v>
      </c>
    </row>
    <row r="487" spans="1:14" ht="15.75" customHeight="1" x14ac:dyDescent="0.35">
      <c r="A487" s="2" t="s">
        <v>929</v>
      </c>
      <c r="B487" s="2" t="str" cm="1">
        <f t="array" ref="B487">_xlfn.IFS(AND(LEN('Special Help Table'!$A487)-(LEN(SUBSTITUTE('Special Help Table'!$A487,";","")))=0,LEN('Special Help Table'!$A487)-LEN(SUBSTITUTE('Special Help Table'!$A487,",",""))=1,LEN('Special Help Table'!$A487)-LEN(SUBSTITUTE('Special Help Table'!$A487,"and ",""))=0),MID('Special Help Table'!$A487&amp;" "&amp;'Special Help Table'!$A487,SEARCH(", ",'Special Help Table'!$A487)+1,LEN('Special Help Table'!$A487)),AND(LEN('Special Help Table'!$A487)-(LEN(SUBSTITUTE('Special Help Table'!$A487,";","")))=1,LEN('Special Help Table'!$A487)-LEN(SUBSTITUTE('Special Help Table'!$A487,"and ",""))=0),MID('Special Help Table'!$A487,SEARCH(",",'Special Help Table'!$A487)+1,(SEARCH(";",'Special Help Table'!$A487)-1)-SEARCH(",",'Special Help Table'!$A487))&amp;" "&amp;LEFT('Special Help Table'!$A487,SEARCH(",",'Special Help Table'!$A487)-1)&amp;";"&amp;RIGHT('Special Help Table'!$A487,LEN('Special Help Table'!$A487)-SEARCH(",",'Special Help Table'!$A487,SEARCH(";",'Special Help Table'!$A487)))&amp;" "&amp;MID('Special Help Table'!$A487,SEARCH("; ",'Special Help Table'!$A487)+2,SEARCH(",",'Special Help Table'!$A487,SEARCH(";",'Special Help Table'!$A487))-SEARCH(";",'Special Help Table'!$A487)-2),AND(LEN('Special Help Table'!$A487)-LEN(SUBSTITUTE('Special Help Table'!$A487,"and ",""))=0,LEN('Special Help Table'!$A487)-LEN(SUBSTITUTE('Special Help Table'!$A487,";",""))=0),'Special Help Table'!$A487,AND(LEN('Special Help Table'!$A487)-LEN(SUBSTITUTE('Special Help Table'!$A487,",","")=1),LEN('Special Help Table'!$A487)-LEN(SUBSTITUTE('Special Help Table'!$A487," ","")=20),LEN('Special Help Table'!$A487)-LEN(SUBSTITUTE('Special Help Table'!$A487," and",""))=0,LEN('Special Help Table'!$A487)-LEN(SUBSTITUTE('Special Help Table'!$A487,",","",FIND(" ",'Special Help Table'!$A487)+1))=0),RIGHT('Special Help Table'!$A487,LEN('Special Help Table'!$A487)-FIND(", ",'Special Help Table'!$A487))&amp;" "&amp;LEFT('Special Help Table'!$A487,FIND(",",'Special Help Table'!$A487)-1),AND(LEN('Special Help Table'!$A487)-LEN(SUBSTITUTE('Special Help Table'!$A487,"editor",""))=6,LEN('Special Help Table'!$A487)-LEN(SUBSTITUTE('Special Help Table'!$A487,"(",""))=0,LEN('Special Help Table'!$A487)-LEN(SUBSTITUTE('Special Help Table'!$A487,"and",""))=3,LEN('Special Help Table'!$A487)-LEN(SUBSTITUTE('Special Help Table'!$A487,",",""))=1,LEN('Special Help Table'!$A487)-LEN(SUBSTITUTE('Special Help Table'!$A487," ",""))=3),'Special Help Table'!$A487)</f>
        <v xml:space="preserve"> Wendell E Miller</v>
      </c>
      <c r="C487" s="4" t="s">
        <v>930</v>
      </c>
      <c r="D487" s="2"/>
      <c r="E487" s="2" t="s">
        <v>16</v>
      </c>
      <c r="F487" s="2" t="s">
        <v>17</v>
      </c>
      <c r="G487" s="2"/>
      <c r="H487" s="2"/>
      <c r="I487" s="2"/>
      <c r="J487" s="2" t="s">
        <v>801</v>
      </c>
      <c r="K487" s="3">
        <v>40038</v>
      </c>
      <c r="L487" s="2"/>
      <c r="M487" s="2"/>
      <c r="N487" s="2" t="s">
        <v>18</v>
      </c>
    </row>
    <row r="488" spans="1:14" ht="15.75" customHeight="1" x14ac:dyDescent="0.35">
      <c r="A488" s="2" t="s">
        <v>931</v>
      </c>
      <c r="B488" s="2" t="str" cm="1">
        <f t="array" ref="B488">_xlfn.IFS(AND(LEN('Special Help Table'!$A488)-(LEN(SUBSTITUTE('Special Help Table'!$A488,";","")))=0,LEN('Special Help Table'!$A488)-LEN(SUBSTITUTE('Special Help Table'!$A488,",",""))=1,LEN('Special Help Table'!$A488)-LEN(SUBSTITUTE('Special Help Table'!$A488,"and ",""))=0),MID('Special Help Table'!$A488&amp;" "&amp;'Special Help Table'!$A488,SEARCH(", ",'Special Help Table'!$A488)+1,LEN('Special Help Table'!$A488)),AND(LEN('Special Help Table'!$A488)-(LEN(SUBSTITUTE('Special Help Table'!$A488,";","")))=1,LEN('Special Help Table'!$A488)-LEN(SUBSTITUTE('Special Help Table'!$A488,"and ",""))=0),MID('Special Help Table'!$A488,SEARCH(",",'Special Help Table'!$A488)+1,(SEARCH(";",'Special Help Table'!$A488)-1)-SEARCH(",",'Special Help Table'!$A488))&amp;" "&amp;LEFT('Special Help Table'!$A488,SEARCH(",",'Special Help Table'!$A488)-1)&amp;";"&amp;RIGHT('Special Help Table'!$A488,LEN('Special Help Table'!$A488)-SEARCH(",",'Special Help Table'!$A488,SEARCH(";",'Special Help Table'!$A488)))&amp;" "&amp;MID('Special Help Table'!$A488,SEARCH("; ",'Special Help Table'!$A488)+2,SEARCH(",",'Special Help Table'!$A488,SEARCH(";",'Special Help Table'!$A488))-SEARCH(";",'Special Help Table'!$A488)-2),AND(LEN('Special Help Table'!$A488)-LEN(SUBSTITUTE('Special Help Table'!$A488,"and ",""))=0,LEN('Special Help Table'!$A488)-LEN(SUBSTITUTE('Special Help Table'!$A488,";",""))=0),'Special Help Table'!$A488,AND(LEN('Special Help Table'!$A488)-LEN(SUBSTITUTE('Special Help Table'!$A488,",","")=1),LEN('Special Help Table'!$A488)-LEN(SUBSTITUTE('Special Help Table'!$A488," ","")=20),LEN('Special Help Table'!$A488)-LEN(SUBSTITUTE('Special Help Table'!$A488," and",""))=0,LEN('Special Help Table'!$A488)-LEN(SUBSTITUTE('Special Help Table'!$A488,",","",FIND(" ",'Special Help Table'!$A488)+1))=0),RIGHT('Special Help Table'!$A488,LEN('Special Help Table'!$A488)-FIND(", ",'Special Help Table'!$A488))&amp;" "&amp;LEFT('Special Help Table'!$A488,FIND(",",'Special Help Table'!$A488)-1),AND(LEN('Special Help Table'!$A488)-LEN(SUBSTITUTE('Special Help Table'!$A488,"editor",""))=6,LEN('Special Help Table'!$A488)-LEN(SUBSTITUTE('Special Help Table'!$A488,"(",""))=0,LEN('Special Help Table'!$A488)-LEN(SUBSTITUTE('Special Help Table'!$A488,"and",""))=3,LEN('Special Help Table'!$A488)-LEN(SUBSTITUTE('Special Help Table'!$A488,",",""))=1,LEN('Special Help Table'!$A488)-LEN(SUBSTITUTE('Special Help Table'!$A488," ",""))=3),'Special Help Table'!$A488)</f>
        <v xml:space="preserve"> Alison Mitchell</v>
      </c>
      <c r="C488" s="4" t="s">
        <v>932</v>
      </c>
      <c r="D488" s="2"/>
      <c r="E488" s="2" t="s">
        <v>16</v>
      </c>
      <c r="F488" s="2" t="s">
        <v>72</v>
      </c>
      <c r="G488" s="2"/>
      <c r="H488" s="2"/>
      <c r="I488" s="2"/>
      <c r="J488" s="2"/>
      <c r="K488" s="3">
        <v>42511</v>
      </c>
      <c r="L488" s="2"/>
      <c r="M488" s="2"/>
      <c r="N488" s="2" t="s">
        <v>18</v>
      </c>
    </row>
    <row r="489" spans="1:14" ht="15.75" customHeight="1" x14ac:dyDescent="0.35">
      <c r="A489" s="2" t="s">
        <v>931</v>
      </c>
      <c r="B489" s="2" t="str" cm="1">
        <f t="array" ref="B489">_xlfn.IFS(AND(LEN('Special Help Table'!$A489)-(LEN(SUBSTITUTE('Special Help Table'!$A489,";","")))=0,LEN('Special Help Table'!$A489)-LEN(SUBSTITUTE('Special Help Table'!$A489,",",""))=1,LEN('Special Help Table'!$A489)-LEN(SUBSTITUTE('Special Help Table'!$A489,"and ",""))=0),MID('Special Help Table'!$A489&amp;" "&amp;'Special Help Table'!$A489,SEARCH(", ",'Special Help Table'!$A489)+1,LEN('Special Help Table'!$A489)),AND(LEN('Special Help Table'!$A489)-(LEN(SUBSTITUTE('Special Help Table'!$A489,";","")))=1,LEN('Special Help Table'!$A489)-LEN(SUBSTITUTE('Special Help Table'!$A489,"and ",""))=0),MID('Special Help Table'!$A489,SEARCH(",",'Special Help Table'!$A489)+1,(SEARCH(";",'Special Help Table'!$A489)-1)-SEARCH(",",'Special Help Table'!$A489))&amp;" "&amp;LEFT('Special Help Table'!$A489,SEARCH(",",'Special Help Table'!$A489)-1)&amp;";"&amp;RIGHT('Special Help Table'!$A489,LEN('Special Help Table'!$A489)-SEARCH(",",'Special Help Table'!$A489,SEARCH(";",'Special Help Table'!$A489)))&amp;" "&amp;MID('Special Help Table'!$A489,SEARCH("; ",'Special Help Table'!$A489)+2,SEARCH(",",'Special Help Table'!$A489,SEARCH(";",'Special Help Table'!$A489))-SEARCH(";",'Special Help Table'!$A489)-2),AND(LEN('Special Help Table'!$A489)-LEN(SUBSTITUTE('Special Help Table'!$A489,"and ",""))=0,LEN('Special Help Table'!$A489)-LEN(SUBSTITUTE('Special Help Table'!$A489,";",""))=0),'Special Help Table'!$A489,AND(LEN('Special Help Table'!$A489)-LEN(SUBSTITUTE('Special Help Table'!$A489,",","")=1),LEN('Special Help Table'!$A489)-LEN(SUBSTITUTE('Special Help Table'!$A489," ","")=20),LEN('Special Help Table'!$A489)-LEN(SUBSTITUTE('Special Help Table'!$A489," and",""))=0,LEN('Special Help Table'!$A489)-LEN(SUBSTITUTE('Special Help Table'!$A489,",","",FIND(" ",'Special Help Table'!$A489)+1))=0),RIGHT('Special Help Table'!$A489,LEN('Special Help Table'!$A489)-FIND(", ",'Special Help Table'!$A489))&amp;" "&amp;LEFT('Special Help Table'!$A489,FIND(",",'Special Help Table'!$A489)-1),AND(LEN('Special Help Table'!$A489)-LEN(SUBSTITUTE('Special Help Table'!$A489,"editor",""))=6,LEN('Special Help Table'!$A489)-LEN(SUBSTITUTE('Special Help Table'!$A489,"(",""))=0,LEN('Special Help Table'!$A489)-LEN(SUBSTITUTE('Special Help Table'!$A489,"and",""))=3,LEN('Special Help Table'!$A489)-LEN(SUBSTITUTE('Special Help Table'!$A489,",",""))=1,LEN('Special Help Table'!$A489)-LEN(SUBSTITUTE('Special Help Table'!$A489," ",""))=3),'Special Help Table'!$A489)</f>
        <v xml:space="preserve"> Alison Mitchell</v>
      </c>
      <c r="C489" s="4" t="s">
        <v>933</v>
      </c>
      <c r="D489" s="2"/>
      <c r="E489" s="2" t="s">
        <v>16</v>
      </c>
      <c r="F489" s="2" t="s">
        <v>72</v>
      </c>
      <c r="G489" s="2"/>
      <c r="H489" s="2"/>
      <c r="I489" s="2"/>
      <c r="J489" s="2"/>
      <c r="K489" s="3"/>
      <c r="L489" s="2"/>
      <c r="M489" s="2"/>
      <c r="N489" s="2" t="s">
        <v>18</v>
      </c>
    </row>
    <row r="490" spans="1:14" ht="15.75" customHeight="1" x14ac:dyDescent="0.35">
      <c r="A490" s="2" t="s">
        <v>934</v>
      </c>
      <c r="B490" s="2" t="str" cm="1">
        <f t="array" ref="B490">_xlfn.IFS(AND(LEN('Special Help Table'!$A490)-(LEN(SUBSTITUTE('Special Help Table'!$A490,";","")))=0,LEN('Special Help Table'!$A490)-LEN(SUBSTITUTE('Special Help Table'!$A490,",",""))=1,LEN('Special Help Table'!$A490)-LEN(SUBSTITUTE('Special Help Table'!$A490,"and ",""))=0),MID('Special Help Table'!$A490&amp;" "&amp;'Special Help Table'!$A490,SEARCH(", ",'Special Help Table'!$A490)+1,LEN('Special Help Table'!$A490)),AND(LEN('Special Help Table'!$A490)-(LEN(SUBSTITUTE('Special Help Table'!$A490,";","")))=1,LEN('Special Help Table'!$A490)-LEN(SUBSTITUTE('Special Help Table'!$A490,"and ",""))=0),MID('Special Help Table'!$A490,SEARCH(",",'Special Help Table'!$A490)+1,(SEARCH(";",'Special Help Table'!$A490)-1)-SEARCH(",",'Special Help Table'!$A490))&amp;" "&amp;LEFT('Special Help Table'!$A490,SEARCH(",",'Special Help Table'!$A490)-1)&amp;";"&amp;RIGHT('Special Help Table'!$A490,LEN('Special Help Table'!$A490)-SEARCH(",",'Special Help Table'!$A490,SEARCH(";",'Special Help Table'!$A490)))&amp;" "&amp;MID('Special Help Table'!$A490,SEARCH("; ",'Special Help Table'!$A490)+2,SEARCH(",",'Special Help Table'!$A490,SEARCH(";",'Special Help Table'!$A490))-SEARCH(";",'Special Help Table'!$A490)-2),AND(LEN('Special Help Table'!$A490)-LEN(SUBSTITUTE('Special Help Table'!$A490,"and ",""))=0,LEN('Special Help Table'!$A490)-LEN(SUBSTITUTE('Special Help Table'!$A490,";",""))=0),'Special Help Table'!$A490,AND(LEN('Special Help Table'!$A490)-LEN(SUBSTITUTE('Special Help Table'!$A490,",","")=1),LEN('Special Help Table'!$A490)-LEN(SUBSTITUTE('Special Help Table'!$A490," ","")=20),LEN('Special Help Table'!$A490)-LEN(SUBSTITUTE('Special Help Table'!$A490," and",""))=0,LEN('Special Help Table'!$A490)-LEN(SUBSTITUTE('Special Help Table'!$A490,",","",FIND(" ",'Special Help Table'!$A490)+1))=0),RIGHT('Special Help Table'!$A490,LEN('Special Help Table'!$A490)-FIND(", ",'Special Help Table'!$A490))&amp;" "&amp;LEFT('Special Help Table'!$A490,FIND(",",'Special Help Table'!$A490)-1),AND(LEN('Special Help Table'!$A490)-LEN(SUBSTITUTE('Special Help Table'!$A490,"editor",""))=6,LEN('Special Help Table'!$A490)-LEN(SUBSTITUTE('Special Help Table'!$A490,"(",""))=0,LEN('Special Help Table'!$A490)-LEN(SUBSTITUTE('Special Help Table'!$A490,"and",""))=3,LEN('Special Help Table'!$A490)-LEN(SUBSTITUTE('Special Help Table'!$A490,",",""))=1,LEN('Special Help Table'!$A490)-LEN(SUBSTITUTE('Special Help Table'!$A490," ",""))=3),'Special Help Table'!$A490)</f>
        <v xml:space="preserve"> Matthe C Mitchell</v>
      </c>
      <c r="C490" s="4" t="s">
        <v>935</v>
      </c>
      <c r="D490" s="2"/>
      <c r="E490" s="2" t="s">
        <v>16</v>
      </c>
      <c r="F490" s="2" t="s">
        <v>17</v>
      </c>
      <c r="G490" s="2"/>
      <c r="H490" s="2"/>
      <c r="I490" s="2"/>
      <c r="J490" s="2" t="s">
        <v>936</v>
      </c>
      <c r="K490" s="3">
        <v>41773</v>
      </c>
      <c r="L490" s="2"/>
      <c r="M490" s="2"/>
      <c r="N490" s="2" t="s">
        <v>18</v>
      </c>
    </row>
    <row r="491" spans="1:14" ht="15.75" customHeight="1" x14ac:dyDescent="0.35">
      <c r="A491" s="2" t="s">
        <v>937</v>
      </c>
      <c r="B491" s="2" t="str" cm="1">
        <f t="array" ref="B491">_xlfn.IFS(AND(LEN('Special Help Table'!$A491)-(LEN(SUBSTITUTE('Special Help Table'!$A491,";","")))=0,LEN('Special Help Table'!$A491)-LEN(SUBSTITUTE('Special Help Table'!$A491,",",""))=1,LEN('Special Help Table'!$A491)-LEN(SUBSTITUTE('Special Help Table'!$A491,"and ",""))=0),MID('Special Help Table'!$A491&amp;" "&amp;'Special Help Table'!$A491,SEARCH(", ",'Special Help Table'!$A491)+1,LEN('Special Help Table'!$A491)),AND(LEN('Special Help Table'!$A491)-(LEN(SUBSTITUTE('Special Help Table'!$A491,";","")))=1,LEN('Special Help Table'!$A491)-LEN(SUBSTITUTE('Special Help Table'!$A491,"and ",""))=0),MID('Special Help Table'!$A491,SEARCH(",",'Special Help Table'!$A491)+1,(SEARCH(";",'Special Help Table'!$A491)-1)-SEARCH(",",'Special Help Table'!$A491))&amp;" "&amp;LEFT('Special Help Table'!$A491,SEARCH(",",'Special Help Table'!$A491)-1)&amp;";"&amp;RIGHT('Special Help Table'!$A491,LEN('Special Help Table'!$A491)-SEARCH(",",'Special Help Table'!$A491,SEARCH(";",'Special Help Table'!$A491)))&amp;" "&amp;MID('Special Help Table'!$A491,SEARCH("; ",'Special Help Table'!$A491)+2,SEARCH(",",'Special Help Table'!$A491,SEARCH(";",'Special Help Table'!$A491))-SEARCH(";",'Special Help Table'!$A491)-2),AND(LEN('Special Help Table'!$A491)-LEN(SUBSTITUTE('Special Help Table'!$A491,"and ",""))=0,LEN('Special Help Table'!$A491)-LEN(SUBSTITUTE('Special Help Table'!$A491,";",""))=0),'Special Help Table'!$A491,AND(LEN('Special Help Table'!$A491)-LEN(SUBSTITUTE('Special Help Table'!$A491,",","")=1),LEN('Special Help Table'!$A491)-LEN(SUBSTITUTE('Special Help Table'!$A491," ","")=20),LEN('Special Help Table'!$A491)-LEN(SUBSTITUTE('Special Help Table'!$A491," and",""))=0,LEN('Special Help Table'!$A491)-LEN(SUBSTITUTE('Special Help Table'!$A491,",","",FIND(" ",'Special Help Table'!$A491)+1))=0),RIGHT('Special Help Table'!$A491,LEN('Special Help Table'!$A491)-FIND(", ",'Special Help Table'!$A491))&amp;" "&amp;LEFT('Special Help Table'!$A491,FIND(",",'Special Help Table'!$A491)-1),AND(LEN('Special Help Table'!$A491)-LEN(SUBSTITUTE('Special Help Table'!$A491,"editor",""))=6,LEN('Special Help Table'!$A491)-LEN(SUBSTITUTE('Special Help Table'!$A491,"(",""))=0,LEN('Special Help Table'!$A491)-LEN(SUBSTITUTE('Special Help Table'!$A491,"and",""))=3,LEN('Special Help Table'!$A491)-LEN(SUBSTITUTE('Special Help Table'!$A491,",",""))=1,LEN('Special Help Table'!$A491)-LEN(SUBSTITUTE('Special Help Table'!$A491," ",""))=3),'Special Help Table'!$A491)</f>
        <v xml:space="preserve"> Albert Mohler</v>
      </c>
      <c r="C491" s="4" t="s">
        <v>938</v>
      </c>
      <c r="D491" s="2"/>
      <c r="E491" s="2" t="s">
        <v>16</v>
      </c>
      <c r="F491" s="2" t="s">
        <v>36</v>
      </c>
      <c r="G491" s="2"/>
      <c r="H491" s="2"/>
      <c r="I491" s="2"/>
      <c r="J491" s="2" t="s">
        <v>52</v>
      </c>
      <c r="K491" s="3">
        <v>41499</v>
      </c>
      <c r="L491" s="2"/>
      <c r="M491" s="2"/>
      <c r="N491" s="2" t="s">
        <v>18</v>
      </c>
    </row>
    <row r="492" spans="1:14" ht="15.75" customHeight="1" x14ac:dyDescent="0.35">
      <c r="A492" s="2" t="s">
        <v>939</v>
      </c>
      <c r="B492" s="2" t="str" cm="1">
        <f t="array" ref="B492">_xlfn.IFS(AND(LEN('Special Help Table'!$A492)-(LEN(SUBSTITUTE('Special Help Table'!$A492,";","")))=0,LEN('Special Help Table'!$A492)-LEN(SUBSTITUTE('Special Help Table'!$A492,",",""))=1,LEN('Special Help Table'!$A492)-LEN(SUBSTITUTE('Special Help Table'!$A492,"and ",""))=0),MID('Special Help Table'!$A492&amp;" "&amp;'Special Help Table'!$A492,SEARCH(", ",'Special Help Table'!$A492)+1,LEN('Special Help Table'!$A492)),AND(LEN('Special Help Table'!$A492)-(LEN(SUBSTITUTE('Special Help Table'!$A492,";","")))=1,LEN('Special Help Table'!$A492)-LEN(SUBSTITUTE('Special Help Table'!$A492,"and ",""))=0),MID('Special Help Table'!$A492,SEARCH(",",'Special Help Table'!$A492)+1,(SEARCH(";",'Special Help Table'!$A492)-1)-SEARCH(",",'Special Help Table'!$A492))&amp;" "&amp;LEFT('Special Help Table'!$A492,SEARCH(",",'Special Help Table'!$A492)-1)&amp;";"&amp;RIGHT('Special Help Table'!$A492,LEN('Special Help Table'!$A492)-SEARCH(",",'Special Help Table'!$A492,SEARCH(";",'Special Help Table'!$A492)))&amp;" "&amp;MID('Special Help Table'!$A492,SEARCH("; ",'Special Help Table'!$A492)+2,SEARCH(",",'Special Help Table'!$A492,SEARCH(";",'Special Help Table'!$A492))-SEARCH(";",'Special Help Table'!$A492)-2),AND(LEN('Special Help Table'!$A492)-LEN(SUBSTITUTE('Special Help Table'!$A492,"and ",""))=0,LEN('Special Help Table'!$A492)-LEN(SUBSTITUTE('Special Help Table'!$A492,";",""))=0),'Special Help Table'!$A492,AND(LEN('Special Help Table'!$A492)-LEN(SUBSTITUTE('Special Help Table'!$A492,",","")=1),LEN('Special Help Table'!$A492)-LEN(SUBSTITUTE('Special Help Table'!$A492," ","")=20),LEN('Special Help Table'!$A492)-LEN(SUBSTITUTE('Special Help Table'!$A492," and",""))=0,LEN('Special Help Table'!$A492)-LEN(SUBSTITUTE('Special Help Table'!$A492,",","",FIND(" ",'Special Help Table'!$A492)+1))=0),RIGHT('Special Help Table'!$A492,LEN('Special Help Table'!$A492)-FIND(", ",'Special Help Table'!$A492))&amp;" "&amp;LEFT('Special Help Table'!$A492,FIND(",",'Special Help Table'!$A492)-1),AND(LEN('Special Help Table'!$A492)-LEN(SUBSTITUTE('Special Help Table'!$A492,"editor",""))=6,LEN('Special Help Table'!$A492)-LEN(SUBSTITUTE('Special Help Table'!$A492,"(",""))=0,LEN('Special Help Table'!$A492)-LEN(SUBSTITUTE('Special Help Table'!$A492,"and",""))=3,LEN('Special Help Table'!$A492)-LEN(SUBSTITUTE('Special Help Table'!$A492,",",""))=1,LEN('Special Help Table'!$A492)-LEN(SUBSTITUTE('Special Help Table'!$A492," ",""))=3),'Special Help Table'!$A492)</f>
        <v xml:space="preserve"> R. Albert Jr. Mohler</v>
      </c>
      <c r="C492" s="4" t="s">
        <v>940</v>
      </c>
      <c r="D492" s="2"/>
      <c r="E492" s="2" t="s">
        <v>16</v>
      </c>
      <c r="F492" s="2" t="s">
        <v>20</v>
      </c>
      <c r="G492" s="2"/>
      <c r="H492" s="2"/>
      <c r="I492" s="2"/>
      <c r="J492" s="2" t="s">
        <v>941</v>
      </c>
      <c r="K492" s="3">
        <v>40188</v>
      </c>
      <c r="L492" s="2"/>
      <c r="M492" s="2"/>
      <c r="N492" s="2" t="s">
        <v>18</v>
      </c>
    </row>
    <row r="493" spans="1:14" ht="15.75" customHeight="1" x14ac:dyDescent="0.35">
      <c r="A493" s="2" t="s">
        <v>939</v>
      </c>
      <c r="B493" s="2" t="str" cm="1">
        <f t="array" ref="B493">_xlfn.IFS(AND(LEN('Special Help Table'!$A493)-(LEN(SUBSTITUTE('Special Help Table'!$A493,";","")))=0,LEN('Special Help Table'!$A493)-LEN(SUBSTITUTE('Special Help Table'!$A493,",",""))=1,LEN('Special Help Table'!$A493)-LEN(SUBSTITUTE('Special Help Table'!$A493,"and ",""))=0),MID('Special Help Table'!$A493&amp;" "&amp;'Special Help Table'!$A493,SEARCH(", ",'Special Help Table'!$A493)+1,LEN('Special Help Table'!$A493)),AND(LEN('Special Help Table'!$A493)-(LEN(SUBSTITUTE('Special Help Table'!$A493,";","")))=1,LEN('Special Help Table'!$A493)-LEN(SUBSTITUTE('Special Help Table'!$A493,"and ",""))=0),MID('Special Help Table'!$A493,SEARCH(",",'Special Help Table'!$A493)+1,(SEARCH(";",'Special Help Table'!$A493)-1)-SEARCH(",",'Special Help Table'!$A493))&amp;" "&amp;LEFT('Special Help Table'!$A493,SEARCH(",",'Special Help Table'!$A493)-1)&amp;";"&amp;RIGHT('Special Help Table'!$A493,LEN('Special Help Table'!$A493)-SEARCH(",",'Special Help Table'!$A493,SEARCH(";",'Special Help Table'!$A493)))&amp;" "&amp;MID('Special Help Table'!$A493,SEARCH("; ",'Special Help Table'!$A493)+2,SEARCH(",",'Special Help Table'!$A493,SEARCH(";",'Special Help Table'!$A493))-SEARCH(";",'Special Help Table'!$A493)-2),AND(LEN('Special Help Table'!$A493)-LEN(SUBSTITUTE('Special Help Table'!$A493,"and ",""))=0,LEN('Special Help Table'!$A493)-LEN(SUBSTITUTE('Special Help Table'!$A493,";",""))=0),'Special Help Table'!$A493,AND(LEN('Special Help Table'!$A493)-LEN(SUBSTITUTE('Special Help Table'!$A493,",","")=1),LEN('Special Help Table'!$A493)-LEN(SUBSTITUTE('Special Help Table'!$A493," ","")=20),LEN('Special Help Table'!$A493)-LEN(SUBSTITUTE('Special Help Table'!$A493," and",""))=0,LEN('Special Help Table'!$A493)-LEN(SUBSTITUTE('Special Help Table'!$A493,",","",FIND(" ",'Special Help Table'!$A493)+1))=0),RIGHT('Special Help Table'!$A493,LEN('Special Help Table'!$A493)-FIND(", ",'Special Help Table'!$A493))&amp;" "&amp;LEFT('Special Help Table'!$A493,FIND(",",'Special Help Table'!$A493)-1),AND(LEN('Special Help Table'!$A493)-LEN(SUBSTITUTE('Special Help Table'!$A493,"editor",""))=6,LEN('Special Help Table'!$A493)-LEN(SUBSTITUTE('Special Help Table'!$A493,"(",""))=0,LEN('Special Help Table'!$A493)-LEN(SUBSTITUTE('Special Help Table'!$A493,"and",""))=3,LEN('Special Help Table'!$A493)-LEN(SUBSTITUTE('Special Help Table'!$A493,",",""))=1,LEN('Special Help Table'!$A493)-LEN(SUBSTITUTE('Special Help Table'!$A493," ",""))=3),'Special Help Table'!$A493)</f>
        <v xml:space="preserve"> R. Albert Jr. Mohler</v>
      </c>
      <c r="C493" s="4" t="s">
        <v>942</v>
      </c>
      <c r="D493" s="2"/>
      <c r="E493" s="2" t="s">
        <v>16</v>
      </c>
      <c r="F493" s="2" t="s">
        <v>20</v>
      </c>
      <c r="G493" s="2"/>
      <c r="H493" s="2"/>
      <c r="I493" s="2"/>
      <c r="J493" s="2" t="s">
        <v>943</v>
      </c>
      <c r="K493" s="3">
        <v>42511</v>
      </c>
      <c r="L493" s="2"/>
      <c r="M493" s="2"/>
      <c r="N493" s="2" t="s">
        <v>18</v>
      </c>
    </row>
    <row r="494" spans="1:14" ht="15.75" customHeight="1" x14ac:dyDescent="0.35">
      <c r="A494" s="2" t="s">
        <v>944</v>
      </c>
      <c r="B494" s="2" t="str" cm="1">
        <f t="array" ref="B494">_xlfn.IFS(AND(LEN('Special Help Table'!$A494)-(LEN(SUBSTITUTE('Special Help Table'!$A494,";","")))=0,LEN('Special Help Table'!$A494)-LEN(SUBSTITUTE('Special Help Table'!$A494,",",""))=1,LEN('Special Help Table'!$A494)-LEN(SUBSTITUTE('Special Help Table'!$A494,"and ",""))=0),MID('Special Help Table'!$A494&amp;" "&amp;'Special Help Table'!$A494,SEARCH(", ",'Special Help Table'!$A494)+1,LEN('Special Help Table'!$A494)),AND(LEN('Special Help Table'!$A494)-(LEN(SUBSTITUTE('Special Help Table'!$A494,";","")))=1,LEN('Special Help Table'!$A494)-LEN(SUBSTITUTE('Special Help Table'!$A494,"and ",""))=0),MID('Special Help Table'!$A494,SEARCH(",",'Special Help Table'!$A494)+1,(SEARCH(";",'Special Help Table'!$A494)-1)-SEARCH(",",'Special Help Table'!$A494))&amp;" "&amp;LEFT('Special Help Table'!$A494,SEARCH(",",'Special Help Table'!$A494)-1)&amp;";"&amp;RIGHT('Special Help Table'!$A494,LEN('Special Help Table'!$A494)-SEARCH(",",'Special Help Table'!$A494,SEARCH(";",'Special Help Table'!$A494)))&amp;" "&amp;MID('Special Help Table'!$A494,SEARCH("; ",'Special Help Table'!$A494)+2,SEARCH(",",'Special Help Table'!$A494,SEARCH(";",'Special Help Table'!$A494))-SEARCH(";",'Special Help Table'!$A494)-2),AND(LEN('Special Help Table'!$A494)-LEN(SUBSTITUTE('Special Help Table'!$A494,"and ",""))=0,LEN('Special Help Table'!$A494)-LEN(SUBSTITUTE('Special Help Table'!$A494,";",""))=0),'Special Help Table'!$A494,AND(LEN('Special Help Table'!$A494)-LEN(SUBSTITUTE('Special Help Table'!$A494,",","")=1),LEN('Special Help Table'!$A494)-LEN(SUBSTITUTE('Special Help Table'!$A494," ","")=20),LEN('Special Help Table'!$A494)-LEN(SUBSTITUTE('Special Help Table'!$A494," and",""))=0,LEN('Special Help Table'!$A494)-LEN(SUBSTITUTE('Special Help Table'!$A494,",","",FIND(" ",'Special Help Table'!$A494)+1))=0),RIGHT('Special Help Table'!$A494,LEN('Special Help Table'!$A494)-FIND(", ",'Special Help Table'!$A494))&amp;" "&amp;LEFT('Special Help Table'!$A494,FIND(",",'Special Help Table'!$A494)-1),AND(LEN('Special Help Table'!$A494)-LEN(SUBSTITUTE('Special Help Table'!$A494,"editor",""))=6,LEN('Special Help Table'!$A494)-LEN(SUBSTITUTE('Special Help Table'!$A494,"(",""))=0,LEN('Special Help Table'!$A494)-LEN(SUBSTITUTE('Special Help Table'!$A494,"and",""))=3,LEN('Special Help Table'!$A494)-LEN(SUBSTITUTE('Special Help Table'!$A494,",",""))=1,LEN('Special Help Table'!$A494)-LEN(SUBSTITUTE('Special Help Table'!$A494," ",""))=3),'Special Help Table'!$A494)</f>
        <v xml:space="preserve"> Russell D. Moore</v>
      </c>
      <c r="C494" s="4" t="s">
        <v>945</v>
      </c>
      <c r="D494" s="2"/>
      <c r="E494" s="2" t="s">
        <v>16</v>
      </c>
      <c r="F494" s="2" t="s">
        <v>36</v>
      </c>
      <c r="G494" s="2"/>
      <c r="H494" s="2"/>
      <c r="I494" s="2"/>
      <c r="J494" s="2" t="s">
        <v>97</v>
      </c>
      <c r="K494" s="3">
        <v>40705</v>
      </c>
      <c r="L494" s="2"/>
      <c r="M494" s="2"/>
      <c r="N494" s="2" t="s">
        <v>18</v>
      </c>
    </row>
    <row r="495" spans="1:14" ht="15.75" customHeight="1" x14ac:dyDescent="0.35">
      <c r="A495" s="2" t="s">
        <v>946</v>
      </c>
      <c r="B495" s="2" t="str" cm="1">
        <f t="array" ref="B495">_xlfn.IFS(AND(LEN('Special Help Table'!$A495)-(LEN(SUBSTITUTE('Special Help Table'!$A495,";","")))=0,LEN('Special Help Table'!$A495)-LEN(SUBSTITUTE('Special Help Table'!$A495,",",""))=1,LEN('Special Help Table'!$A495)-LEN(SUBSTITUTE('Special Help Table'!$A495,"and ",""))=0),MID('Special Help Table'!$A495&amp;" "&amp;'Special Help Table'!$A495,SEARCH(", ",'Special Help Table'!$A495)+1,LEN('Special Help Table'!$A495)),AND(LEN('Special Help Table'!$A495)-(LEN(SUBSTITUTE('Special Help Table'!$A495,";","")))=1,LEN('Special Help Table'!$A495)-LEN(SUBSTITUTE('Special Help Table'!$A495,"and ",""))=0),MID('Special Help Table'!$A495,SEARCH(",",'Special Help Table'!$A495)+1,(SEARCH(";",'Special Help Table'!$A495)-1)-SEARCH(",",'Special Help Table'!$A495))&amp;" "&amp;LEFT('Special Help Table'!$A495,SEARCH(",",'Special Help Table'!$A495)-1)&amp;";"&amp;RIGHT('Special Help Table'!$A495,LEN('Special Help Table'!$A495)-SEARCH(",",'Special Help Table'!$A495,SEARCH(";",'Special Help Table'!$A495)))&amp;" "&amp;MID('Special Help Table'!$A495,SEARCH("; ",'Special Help Table'!$A495)+2,SEARCH(",",'Special Help Table'!$A495,SEARCH(";",'Special Help Table'!$A495))-SEARCH(";",'Special Help Table'!$A495)-2),AND(LEN('Special Help Table'!$A495)-LEN(SUBSTITUTE('Special Help Table'!$A495,"and ",""))=0,LEN('Special Help Table'!$A495)-LEN(SUBSTITUTE('Special Help Table'!$A495,";",""))=0),'Special Help Table'!$A495,AND(LEN('Special Help Table'!$A495)-LEN(SUBSTITUTE('Special Help Table'!$A495,",","")=1),LEN('Special Help Table'!$A495)-LEN(SUBSTITUTE('Special Help Table'!$A495," ","")=20),LEN('Special Help Table'!$A495)-LEN(SUBSTITUTE('Special Help Table'!$A495," and",""))=0,LEN('Special Help Table'!$A495)-LEN(SUBSTITUTE('Special Help Table'!$A495,",","",FIND(" ",'Special Help Table'!$A495)+1))=0),RIGHT('Special Help Table'!$A495,LEN('Special Help Table'!$A495)-FIND(", ",'Special Help Table'!$A495))&amp;" "&amp;LEFT('Special Help Table'!$A495,FIND(",",'Special Help Table'!$A495)-1),AND(LEN('Special Help Table'!$A495)-LEN(SUBSTITUTE('Special Help Table'!$A495,"editor",""))=6,LEN('Special Help Table'!$A495)-LEN(SUBSTITUTE('Special Help Table'!$A495,"(",""))=0,LEN('Special Help Table'!$A495)-LEN(SUBSTITUTE('Special Help Table'!$A495,"and",""))=3,LEN('Special Help Table'!$A495)-LEN(SUBSTITUTE('Special Help Table'!$A495,",",""))=1,LEN('Special Help Table'!$A495)-LEN(SUBSTITUTE('Special Help Table'!$A495," ",""))=3),'Special Help Table'!$A495)</f>
        <v xml:space="preserve"> Adam Morgan</v>
      </c>
      <c r="C495" s="4" t="s">
        <v>947</v>
      </c>
      <c r="D495" s="2" t="s">
        <v>948</v>
      </c>
      <c r="E495" s="2" t="s">
        <v>16</v>
      </c>
      <c r="F495" s="2" t="s">
        <v>72</v>
      </c>
      <c r="G495" s="2"/>
      <c r="H495" s="2"/>
      <c r="I495" s="2"/>
      <c r="J495" s="2"/>
      <c r="K495" s="3">
        <v>43831</v>
      </c>
      <c r="L495" s="2"/>
      <c r="M495" s="2"/>
      <c r="N495" s="2" t="s">
        <v>18</v>
      </c>
    </row>
    <row r="496" spans="1:14" ht="15.75" customHeight="1" x14ac:dyDescent="0.35">
      <c r="A496" s="2" t="s">
        <v>949</v>
      </c>
      <c r="B496" s="2" t="str" cm="1">
        <f t="array" ref="B496">_xlfn.IFS(AND(LEN('Special Help Table'!$A496)-(LEN(SUBSTITUTE('Special Help Table'!$A496,";","")))=0,LEN('Special Help Table'!$A496)-LEN(SUBSTITUTE('Special Help Table'!$A496,",",""))=1,LEN('Special Help Table'!$A496)-LEN(SUBSTITUTE('Special Help Table'!$A496,"and ",""))=0),MID('Special Help Table'!$A496&amp;" "&amp;'Special Help Table'!$A496,SEARCH(", ",'Special Help Table'!$A496)+1,LEN('Special Help Table'!$A496)),AND(LEN('Special Help Table'!$A496)-(LEN(SUBSTITUTE('Special Help Table'!$A496,";","")))=1,LEN('Special Help Table'!$A496)-LEN(SUBSTITUTE('Special Help Table'!$A496,"and ",""))=0),MID('Special Help Table'!$A496,SEARCH(",",'Special Help Table'!$A496)+1,(SEARCH(";",'Special Help Table'!$A496)-1)-SEARCH(",",'Special Help Table'!$A496))&amp;" "&amp;LEFT('Special Help Table'!$A496,SEARCH(",",'Special Help Table'!$A496)-1)&amp;";"&amp;RIGHT('Special Help Table'!$A496,LEN('Special Help Table'!$A496)-SEARCH(",",'Special Help Table'!$A496,SEARCH(";",'Special Help Table'!$A496)))&amp;" "&amp;MID('Special Help Table'!$A496,SEARCH("; ",'Special Help Table'!$A496)+2,SEARCH(",",'Special Help Table'!$A496,SEARCH(";",'Special Help Table'!$A496))-SEARCH(";",'Special Help Table'!$A496)-2),AND(LEN('Special Help Table'!$A496)-LEN(SUBSTITUTE('Special Help Table'!$A496,"and ",""))=0,LEN('Special Help Table'!$A496)-LEN(SUBSTITUTE('Special Help Table'!$A496,";",""))=0),'Special Help Table'!$A496,AND(LEN('Special Help Table'!$A496)-LEN(SUBSTITUTE('Special Help Table'!$A496,",","")=1),LEN('Special Help Table'!$A496)-LEN(SUBSTITUTE('Special Help Table'!$A496," ","")=20),LEN('Special Help Table'!$A496)-LEN(SUBSTITUTE('Special Help Table'!$A496," and",""))=0,LEN('Special Help Table'!$A496)-LEN(SUBSTITUTE('Special Help Table'!$A496,",","",FIND(" ",'Special Help Table'!$A496)+1))=0),RIGHT('Special Help Table'!$A496,LEN('Special Help Table'!$A496)-FIND(", ",'Special Help Table'!$A496))&amp;" "&amp;LEFT('Special Help Table'!$A496,FIND(",",'Special Help Table'!$A496)-1),AND(LEN('Special Help Table'!$A496)-LEN(SUBSTITUTE('Special Help Table'!$A496,"editor",""))=6,LEN('Special Help Table'!$A496)-LEN(SUBSTITUTE('Special Help Table'!$A496,"(",""))=0,LEN('Special Help Table'!$A496)-LEN(SUBSTITUTE('Special Help Table'!$A496,"and",""))=3,LEN('Special Help Table'!$A496)-LEN(SUBSTITUTE('Special Help Table'!$A496,",",""))=1,LEN('Special Help Table'!$A496)-LEN(SUBSTITUTE('Special Help Table'!$A496," ",""))=3),'Special Help Table'!$A496)</f>
        <v xml:space="preserve"> Christopher W--ed.  Morgan</v>
      </c>
      <c r="C496" s="4" t="s">
        <v>950</v>
      </c>
      <c r="D496" s="2" t="s">
        <v>951</v>
      </c>
      <c r="E496" s="2" t="s">
        <v>16</v>
      </c>
      <c r="F496" s="2" t="s">
        <v>28</v>
      </c>
      <c r="G496" s="2"/>
      <c r="H496" s="2"/>
      <c r="I496" s="2"/>
      <c r="J496" s="2"/>
      <c r="K496" s="3">
        <v>40827</v>
      </c>
      <c r="L496" s="2"/>
      <c r="M496" s="2"/>
      <c r="N496" s="2" t="s">
        <v>18</v>
      </c>
    </row>
    <row r="497" spans="1:14" ht="15.75" customHeight="1" x14ac:dyDescent="0.35">
      <c r="A497" s="2" t="s">
        <v>952</v>
      </c>
      <c r="B497" s="2" t="str" cm="1">
        <f t="array" ref="B497">_xlfn.IFS(AND(LEN('Special Help Table'!$A497)-(LEN(SUBSTITUTE('Special Help Table'!$A497,";","")))=0,LEN('Special Help Table'!$A497)-LEN(SUBSTITUTE('Special Help Table'!$A497,",",""))=1,LEN('Special Help Table'!$A497)-LEN(SUBSTITUTE('Special Help Table'!$A497,"and ",""))=0),MID('Special Help Table'!$A497&amp;" "&amp;'Special Help Table'!$A497,SEARCH(", ",'Special Help Table'!$A497)+1,LEN('Special Help Table'!$A497)),AND(LEN('Special Help Table'!$A497)-(LEN(SUBSTITUTE('Special Help Table'!$A497,";","")))=1,LEN('Special Help Table'!$A497)-LEN(SUBSTITUTE('Special Help Table'!$A497,"and ",""))=0),MID('Special Help Table'!$A497,SEARCH(",",'Special Help Table'!$A497)+1,(SEARCH(";",'Special Help Table'!$A497)-1)-SEARCH(",",'Special Help Table'!$A497))&amp;" "&amp;LEFT('Special Help Table'!$A497,SEARCH(",",'Special Help Table'!$A497)-1)&amp;";"&amp;RIGHT('Special Help Table'!$A497,LEN('Special Help Table'!$A497)-SEARCH(",",'Special Help Table'!$A497,SEARCH(";",'Special Help Table'!$A497)))&amp;" "&amp;MID('Special Help Table'!$A497,SEARCH("; ",'Special Help Table'!$A497)+2,SEARCH(",",'Special Help Table'!$A497,SEARCH(";",'Special Help Table'!$A497))-SEARCH(";",'Special Help Table'!$A497)-2),AND(LEN('Special Help Table'!$A497)-LEN(SUBSTITUTE('Special Help Table'!$A497,"and ",""))=0,LEN('Special Help Table'!$A497)-LEN(SUBSTITUTE('Special Help Table'!$A497,";",""))=0),'Special Help Table'!$A497,AND(LEN('Special Help Table'!$A497)-LEN(SUBSTITUTE('Special Help Table'!$A497,",","")=1),LEN('Special Help Table'!$A497)-LEN(SUBSTITUTE('Special Help Table'!$A497," ","")=20),LEN('Special Help Table'!$A497)-LEN(SUBSTITUTE('Special Help Table'!$A497," and",""))=0,LEN('Special Help Table'!$A497)-LEN(SUBSTITUTE('Special Help Table'!$A497,",","",FIND(" ",'Special Help Table'!$A497)+1))=0),RIGHT('Special Help Table'!$A497,LEN('Special Help Table'!$A497)-FIND(", ",'Special Help Table'!$A497))&amp;" "&amp;LEFT('Special Help Table'!$A497,FIND(",",'Special Help Table'!$A497)-1),AND(LEN('Special Help Table'!$A497)-LEN(SUBSTITUTE('Special Help Table'!$A497,"editor",""))=6,LEN('Special Help Table'!$A497)-LEN(SUBSTITUTE('Special Help Table'!$A497,"(",""))=0,LEN('Special Help Table'!$A497)-LEN(SUBSTITUTE('Special Help Table'!$A497,"and",""))=3,LEN('Special Help Table'!$A497)-LEN(SUBSTITUTE('Special Help Table'!$A497,",",""))=1,LEN('Special Help Table'!$A497)-LEN(SUBSTITUTE('Special Help Table'!$A497," ",""))=3),'Special Help Table'!$A497)</f>
        <v xml:space="preserve"> Leon Morris</v>
      </c>
      <c r="C497" s="4" t="s">
        <v>953</v>
      </c>
      <c r="D497" s="2"/>
      <c r="E497" s="2" t="s">
        <v>16</v>
      </c>
      <c r="F497" s="2" t="s">
        <v>92</v>
      </c>
      <c r="G497" s="2"/>
      <c r="H497" s="2"/>
      <c r="I497" s="2"/>
      <c r="J497" s="2"/>
      <c r="K497" s="3">
        <v>41712</v>
      </c>
      <c r="L497" s="2"/>
      <c r="M497" s="2"/>
      <c r="N497" s="2" t="s">
        <v>18</v>
      </c>
    </row>
    <row r="498" spans="1:14" ht="15.75" customHeight="1" x14ac:dyDescent="0.35">
      <c r="A498" s="2" t="s">
        <v>952</v>
      </c>
      <c r="B498" s="2" t="str" cm="1">
        <f t="array" ref="B498">_xlfn.IFS(AND(LEN('Special Help Table'!$A498)-(LEN(SUBSTITUTE('Special Help Table'!$A498,";","")))=0,LEN('Special Help Table'!$A498)-LEN(SUBSTITUTE('Special Help Table'!$A498,",",""))=1,LEN('Special Help Table'!$A498)-LEN(SUBSTITUTE('Special Help Table'!$A498,"and ",""))=0),MID('Special Help Table'!$A498&amp;" "&amp;'Special Help Table'!$A498,SEARCH(", ",'Special Help Table'!$A498)+1,LEN('Special Help Table'!$A498)),AND(LEN('Special Help Table'!$A498)-(LEN(SUBSTITUTE('Special Help Table'!$A498,";","")))=1,LEN('Special Help Table'!$A498)-LEN(SUBSTITUTE('Special Help Table'!$A498,"and ",""))=0),MID('Special Help Table'!$A498,SEARCH(",",'Special Help Table'!$A498)+1,(SEARCH(";",'Special Help Table'!$A498)-1)-SEARCH(",",'Special Help Table'!$A498))&amp;" "&amp;LEFT('Special Help Table'!$A498,SEARCH(",",'Special Help Table'!$A498)-1)&amp;";"&amp;RIGHT('Special Help Table'!$A498,LEN('Special Help Table'!$A498)-SEARCH(",",'Special Help Table'!$A498,SEARCH(";",'Special Help Table'!$A498)))&amp;" "&amp;MID('Special Help Table'!$A498,SEARCH("; ",'Special Help Table'!$A498)+2,SEARCH(",",'Special Help Table'!$A498,SEARCH(";",'Special Help Table'!$A498))-SEARCH(";",'Special Help Table'!$A498)-2),AND(LEN('Special Help Table'!$A498)-LEN(SUBSTITUTE('Special Help Table'!$A498,"and ",""))=0,LEN('Special Help Table'!$A498)-LEN(SUBSTITUTE('Special Help Table'!$A498,";",""))=0),'Special Help Table'!$A498,AND(LEN('Special Help Table'!$A498)-LEN(SUBSTITUTE('Special Help Table'!$A498,",","")=1),LEN('Special Help Table'!$A498)-LEN(SUBSTITUTE('Special Help Table'!$A498," ","")=20),LEN('Special Help Table'!$A498)-LEN(SUBSTITUTE('Special Help Table'!$A498," and",""))=0,LEN('Special Help Table'!$A498)-LEN(SUBSTITUTE('Special Help Table'!$A498,",","",FIND(" ",'Special Help Table'!$A498)+1))=0),RIGHT('Special Help Table'!$A498,LEN('Special Help Table'!$A498)-FIND(", ",'Special Help Table'!$A498))&amp;" "&amp;LEFT('Special Help Table'!$A498,FIND(",",'Special Help Table'!$A498)-1),AND(LEN('Special Help Table'!$A498)-LEN(SUBSTITUTE('Special Help Table'!$A498,"editor",""))=6,LEN('Special Help Table'!$A498)-LEN(SUBSTITUTE('Special Help Table'!$A498,"(",""))=0,LEN('Special Help Table'!$A498)-LEN(SUBSTITUTE('Special Help Table'!$A498,"and",""))=3,LEN('Special Help Table'!$A498)-LEN(SUBSTITUTE('Special Help Table'!$A498,",",""))=1,LEN('Special Help Table'!$A498)-LEN(SUBSTITUTE('Special Help Table'!$A498," ",""))=3),'Special Help Table'!$A498)</f>
        <v xml:space="preserve"> Leon Morris</v>
      </c>
      <c r="C498" s="4" t="s">
        <v>954</v>
      </c>
      <c r="D498" s="2"/>
      <c r="E498" s="2" t="s">
        <v>16</v>
      </c>
      <c r="F498" s="2" t="s">
        <v>92</v>
      </c>
      <c r="G498" s="2"/>
      <c r="H498" s="2"/>
      <c r="I498" s="2"/>
      <c r="J498" s="2"/>
      <c r="K498" s="3">
        <v>41346</v>
      </c>
      <c r="L498" s="2"/>
      <c r="M498" s="2"/>
      <c r="N498" s="2" t="s">
        <v>18</v>
      </c>
    </row>
    <row r="499" spans="1:14" ht="15.75" customHeight="1" x14ac:dyDescent="0.35">
      <c r="A499" s="2" t="s">
        <v>955</v>
      </c>
      <c r="B499" s="2" t="str" cm="1">
        <f t="array" ref="B499">_xlfn.IFS(AND(LEN('Special Help Table'!$A499)-(LEN(SUBSTITUTE('Special Help Table'!$A499,";","")))=0,LEN('Special Help Table'!$A499)-LEN(SUBSTITUTE('Special Help Table'!$A499,",",""))=1,LEN('Special Help Table'!$A499)-LEN(SUBSTITUTE('Special Help Table'!$A499,"and ",""))=0),MID('Special Help Table'!$A499&amp;" "&amp;'Special Help Table'!$A499,SEARCH(", ",'Special Help Table'!$A499)+1,LEN('Special Help Table'!$A499)),AND(LEN('Special Help Table'!$A499)-(LEN(SUBSTITUTE('Special Help Table'!$A499,";","")))=1,LEN('Special Help Table'!$A499)-LEN(SUBSTITUTE('Special Help Table'!$A499,"and ",""))=0),MID('Special Help Table'!$A499,SEARCH(",",'Special Help Table'!$A499)+1,(SEARCH(";",'Special Help Table'!$A499)-1)-SEARCH(",",'Special Help Table'!$A499))&amp;" "&amp;LEFT('Special Help Table'!$A499,SEARCH(",",'Special Help Table'!$A499)-1)&amp;";"&amp;RIGHT('Special Help Table'!$A499,LEN('Special Help Table'!$A499)-SEARCH(",",'Special Help Table'!$A499,SEARCH(";",'Special Help Table'!$A499)))&amp;" "&amp;MID('Special Help Table'!$A499,SEARCH("; ",'Special Help Table'!$A499)+2,SEARCH(",",'Special Help Table'!$A499,SEARCH(";",'Special Help Table'!$A499))-SEARCH(";",'Special Help Table'!$A499)-2),AND(LEN('Special Help Table'!$A499)-LEN(SUBSTITUTE('Special Help Table'!$A499,"and ",""))=0,LEN('Special Help Table'!$A499)-LEN(SUBSTITUTE('Special Help Table'!$A499,";",""))=0),'Special Help Table'!$A499,AND(LEN('Special Help Table'!$A499)-LEN(SUBSTITUTE('Special Help Table'!$A499,",","")=1),LEN('Special Help Table'!$A499)-LEN(SUBSTITUTE('Special Help Table'!$A499," ","")=20),LEN('Special Help Table'!$A499)-LEN(SUBSTITUTE('Special Help Table'!$A499," and",""))=0,LEN('Special Help Table'!$A499)-LEN(SUBSTITUTE('Special Help Table'!$A499,",","",FIND(" ",'Special Help Table'!$A499)+1))=0),RIGHT('Special Help Table'!$A499,LEN('Special Help Table'!$A499)-FIND(", ",'Special Help Table'!$A499))&amp;" "&amp;LEFT('Special Help Table'!$A499,FIND(",",'Special Help Table'!$A499)-1),AND(LEN('Special Help Table'!$A499)-LEN(SUBSTITUTE('Special Help Table'!$A499,"editor",""))=6,LEN('Special Help Table'!$A499)-LEN(SUBSTITUTE('Special Help Table'!$A499,"(",""))=0,LEN('Special Help Table'!$A499)-LEN(SUBSTITUTE('Special Help Table'!$A499,"and",""))=3,LEN('Special Help Table'!$A499)-LEN(SUBSTITUTE('Special Help Table'!$A499,",",""))=1,LEN('Special Help Table'!$A499)-LEN(SUBSTITUTE('Special Help Table'!$A499," ",""))=3),'Special Help Table'!$A499)</f>
        <v xml:space="preserve"> Steve Morrison</v>
      </c>
      <c r="C499" s="4" t="s">
        <v>956</v>
      </c>
      <c r="D499" s="2"/>
      <c r="E499" s="2" t="s">
        <v>16</v>
      </c>
      <c r="F499" s="2" t="s">
        <v>17</v>
      </c>
      <c r="G499" s="2"/>
      <c r="H499" s="2"/>
      <c r="I499" s="2"/>
      <c r="J499" s="2" t="s">
        <v>31</v>
      </c>
      <c r="K499" s="3">
        <v>42511</v>
      </c>
      <c r="L499" s="2"/>
      <c r="M499" s="2"/>
      <c r="N499" s="2" t="s">
        <v>18</v>
      </c>
    </row>
    <row r="500" spans="1:14" ht="15.75" customHeight="1" x14ac:dyDescent="0.35">
      <c r="A500" s="2" t="s">
        <v>957</v>
      </c>
      <c r="B500" s="2" t="str" cm="1">
        <f t="array" ref="B500">_xlfn.IFS(AND(LEN('Special Help Table'!$A500)-(LEN(SUBSTITUTE('Special Help Table'!$A500,";","")))=0,LEN('Special Help Table'!$A500)-LEN(SUBSTITUTE('Special Help Table'!$A500,",",""))=1,LEN('Special Help Table'!$A500)-LEN(SUBSTITUTE('Special Help Table'!$A500,"and ",""))=0),MID('Special Help Table'!$A500&amp;" "&amp;'Special Help Table'!$A500,SEARCH(", ",'Special Help Table'!$A500)+1,LEN('Special Help Table'!$A500)),AND(LEN('Special Help Table'!$A500)-(LEN(SUBSTITUTE('Special Help Table'!$A500,";","")))=1,LEN('Special Help Table'!$A500)-LEN(SUBSTITUTE('Special Help Table'!$A500,"and ",""))=0),MID('Special Help Table'!$A500,SEARCH(",",'Special Help Table'!$A500)+1,(SEARCH(";",'Special Help Table'!$A500)-1)-SEARCH(",",'Special Help Table'!$A500))&amp;" "&amp;LEFT('Special Help Table'!$A500,SEARCH(",",'Special Help Table'!$A500)-1)&amp;";"&amp;RIGHT('Special Help Table'!$A500,LEN('Special Help Table'!$A500)-SEARCH(",",'Special Help Table'!$A500,SEARCH(";",'Special Help Table'!$A500)))&amp;" "&amp;MID('Special Help Table'!$A500,SEARCH("; ",'Special Help Table'!$A500)+2,SEARCH(",",'Special Help Table'!$A500,SEARCH(";",'Special Help Table'!$A500))-SEARCH(";",'Special Help Table'!$A500)-2),AND(LEN('Special Help Table'!$A500)-LEN(SUBSTITUTE('Special Help Table'!$A500,"and ",""))=0,LEN('Special Help Table'!$A500)-LEN(SUBSTITUTE('Special Help Table'!$A500,";",""))=0),'Special Help Table'!$A500,AND(LEN('Special Help Table'!$A500)-LEN(SUBSTITUTE('Special Help Table'!$A500,",","")=1),LEN('Special Help Table'!$A500)-LEN(SUBSTITUTE('Special Help Table'!$A500," ","")=20),LEN('Special Help Table'!$A500)-LEN(SUBSTITUTE('Special Help Table'!$A500," and",""))=0,LEN('Special Help Table'!$A500)-LEN(SUBSTITUTE('Special Help Table'!$A500,",","",FIND(" ",'Special Help Table'!$A500)+1))=0),RIGHT('Special Help Table'!$A500,LEN('Special Help Table'!$A500)-FIND(", ",'Special Help Table'!$A500))&amp;" "&amp;LEFT('Special Help Table'!$A500,FIND(",",'Special Help Table'!$A500)-1),AND(LEN('Special Help Table'!$A500)-LEN(SUBSTITUTE('Special Help Table'!$A500,"editor",""))=6,LEN('Special Help Table'!$A500)-LEN(SUBSTITUTE('Special Help Table'!$A500,"(",""))=0,LEN('Special Help Table'!$A500)-LEN(SUBSTITUTE('Special Help Table'!$A500,"and",""))=3,LEN('Special Help Table'!$A500)-LEN(SUBSTITUTE('Special Help Table'!$A500,",",""))=1,LEN('Special Help Table'!$A500)-LEN(SUBSTITUTE('Special Help Table'!$A500," ",""))=3),'Special Help Table'!$A500)</f>
        <v xml:space="preserve"> Iain H Murray</v>
      </c>
      <c r="C500" s="4" t="s">
        <v>958</v>
      </c>
      <c r="D500" s="2"/>
      <c r="E500" s="2" t="s">
        <v>16</v>
      </c>
      <c r="F500" s="2" t="s">
        <v>326</v>
      </c>
      <c r="G500" s="2"/>
      <c r="H500" s="2"/>
      <c r="I500" s="2"/>
      <c r="J500" s="2" t="s">
        <v>77</v>
      </c>
      <c r="K500" s="3">
        <v>40039</v>
      </c>
      <c r="L500" s="2"/>
      <c r="M500" s="2"/>
      <c r="N500" s="2" t="s">
        <v>18</v>
      </c>
    </row>
    <row r="501" spans="1:14" ht="15.75" customHeight="1" x14ac:dyDescent="0.35">
      <c r="A501" s="2" t="s">
        <v>957</v>
      </c>
      <c r="B501" s="2" t="str" cm="1">
        <f t="array" ref="B501">_xlfn.IFS(AND(LEN('Special Help Table'!$A501)-(LEN(SUBSTITUTE('Special Help Table'!$A501,";","")))=0,LEN('Special Help Table'!$A501)-LEN(SUBSTITUTE('Special Help Table'!$A501,",",""))=1,LEN('Special Help Table'!$A501)-LEN(SUBSTITUTE('Special Help Table'!$A501,"and ",""))=0),MID('Special Help Table'!$A501&amp;" "&amp;'Special Help Table'!$A501,SEARCH(", ",'Special Help Table'!$A501)+1,LEN('Special Help Table'!$A501)),AND(LEN('Special Help Table'!$A501)-(LEN(SUBSTITUTE('Special Help Table'!$A501,";","")))=1,LEN('Special Help Table'!$A501)-LEN(SUBSTITUTE('Special Help Table'!$A501,"and ",""))=0),MID('Special Help Table'!$A501,SEARCH(",",'Special Help Table'!$A501)+1,(SEARCH(";",'Special Help Table'!$A501)-1)-SEARCH(",",'Special Help Table'!$A501))&amp;" "&amp;LEFT('Special Help Table'!$A501,SEARCH(",",'Special Help Table'!$A501)-1)&amp;";"&amp;RIGHT('Special Help Table'!$A501,LEN('Special Help Table'!$A501)-SEARCH(",",'Special Help Table'!$A501,SEARCH(";",'Special Help Table'!$A501)))&amp;" "&amp;MID('Special Help Table'!$A501,SEARCH("; ",'Special Help Table'!$A501)+2,SEARCH(",",'Special Help Table'!$A501,SEARCH(";",'Special Help Table'!$A501))-SEARCH(";",'Special Help Table'!$A501)-2),AND(LEN('Special Help Table'!$A501)-LEN(SUBSTITUTE('Special Help Table'!$A501,"and ",""))=0,LEN('Special Help Table'!$A501)-LEN(SUBSTITUTE('Special Help Table'!$A501,";",""))=0),'Special Help Table'!$A501,AND(LEN('Special Help Table'!$A501)-LEN(SUBSTITUTE('Special Help Table'!$A501,",","")=1),LEN('Special Help Table'!$A501)-LEN(SUBSTITUTE('Special Help Table'!$A501," ","")=20),LEN('Special Help Table'!$A501)-LEN(SUBSTITUTE('Special Help Table'!$A501," and",""))=0,LEN('Special Help Table'!$A501)-LEN(SUBSTITUTE('Special Help Table'!$A501,",","",FIND(" ",'Special Help Table'!$A501)+1))=0),RIGHT('Special Help Table'!$A501,LEN('Special Help Table'!$A501)-FIND(", ",'Special Help Table'!$A501))&amp;" "&amp;LEFT('Special Help Table'!$A501,FIND(",",'Special Help Table'!$A501)-1),AND(LEN('Special Help Table'!$A501)-LEN(SUBSTITUTE('Special Help Table'!$A501,"editor",""))=6,LEN('Special Help Table'!$A501)-LEN(SUBSTITUTE('Special Help Table'!$A501,"(",""))=0,LEN('Special Help Table'!$A501)-LEN(SUBSTITUTE('Special Help Table'!$A501,"and",""))=3,LEN('Special Help Table'!$A501)-LEN(SUBSTITUTE('Special Help Table'!$A501,",",""))=1,LEN('Special Help Table'!$A501)-LEN(SUBSTITUTE('Special Help Table'!$A501," ",""))=3),'Special Help Table'!$A501)</f>
        <v xml:space="preserve"> Iain H Murray</v>
      </c>
      <c r="C501" s="4" t="s">
        <v>959</v>
      </c>
      <c r="D501" s="2"/>
      <c r="E501" s="2" t="s">
        <v>16</v>
      </c>
      <c r="F501" s="2" t="s">
        <v>39</v>
      </c>
      <c r="G501" s="2"/>
      <c r="H501" s="2"/>
      <c r="I501" s="2"/>
      <c r="J501" s="2"/>
      <c r="K501" s="3">
        <v>42693</v>
      </c>
      <c r="L501" s="2"/>
      <c r="M501" s="2"/>
      <c r="N501" s="2" t="s">
        <v>18</v>
      </c>
    </row>
    <row r="502" spans="1:14" ht="15.75" customHeight="1" x14ac:dyDescent="0.35">
      <c r="A502" s="2" t="s">
        <v>957</v>
      </c>
      <c r="B502" s="2" t="str" cm="1">
        <f t="array" ref="B502">_xlfn.IFS(AND(LEN('Special Help Table'!$A502)-(LEN(SUBSTITUTE('Special Help Table'!$A502,";","")))=0,LEN('Special Help Table'!$A502)-LEN(SUBSTITUTE('Special Help Table'!$A502,",",""))=1,LEN('Special Help Table'!$A502)-LEN(SUBSTITUTE('Special Help Table'!$A502,"and ",""))=0),MID('Special Help Table'!$A502&amp;" "&amp;'Special Help Table'!$A502,SEARCH(", ",'Special Help Table'!$A502)+1,LEN('Special Help Table'!$A502)),AND(LEN('Special Help Table'!$A502)-(LEN(SUBSTITUTE('Special Help Table'!$A502,";","")))=1,LEN('Special Help Table'!$A502)-LEN(SUBSTITUTE('Special Help Table'!$A502,"and ",""))=0),MID('Special Help Table'!$A502,SEARCH(",",'Special Help Table'!$A502)+1,(SEARCH(";",'Special Help Table'!$A502)-1)-SEARCH(",",'Special Help Table'!$A502))&amp;" "&amp;LEFT('Special Help Table'!$A502,SEARCH(",",'Special Help Table'!$A502)-1)&amp;";"&amp;RIGHT('Special Help Table'!$A502,LEN('Special Help Table'!$A502)-SEARCH(",",'Special Help Table'!$A502,SEARCH(";",'Special Help Table'!$A502)))&amp;" "&amp;MID('Special Help Table'!$A502,SEARCH("; ",'Special Help Table'!$A502)+2,SEARCH(",",'Special Help Table'!$A502,SEARCH(";",'Special Help Table'!$A502))-SEARCH(";",'Special Help Table'!$A502)-2),AND(LEN('Special Help Table'!$A502)-LEN(SUBSTITUTE('Special Help Table'!$A502,"and ",""))=0,LEN('Special Help Table'!$A502)-LEN(SUBSTITUTE('Special Help Table'!$A502,";",""))=0),'Special Help Table'!$A502,AND(LEN('Special Help Table'!$A502)-LEN(SUBSTITUTE('Special Help Table'!$A502,",","")=1),LEN('Special Help Table'!$A502)-LEN(SUBSTITUTE('Special Help Table'!$A502," ","")=20),LEN('Special Help Table'!$A502)-LEN(SUBSTITUTE('Special Help Table'!$A502," and",""))=0,LEN('Special Help Table'!$A502)-LEN(SUBSTITUTE('Special Help Table'!$A502,",","",FIND(" ",'Special Help Table'!$A502)+1))=0),RIGHT('Special Help Table'!$A502,LEN('Special Help Table'!$A502)-FIND(", ",'Special Help Table'!$A502))&amp;" "&amp;LEFT('Special Help Table'!$A502,FIND(",",'Special Help Table'!$A502)-1),AND(LEN('Special Help Table'!$A502)-LEN(SUBSTITUTE('Special Help Table'!$A502,"editor",""))=6,LEN('Special Help Table'!$A502)-LEN(SUBSTITUTE('Special Help Table'!$A502,"(",""))=0,LEN('Special Help Table'!$A502)-LEN(SUBSTITUTE('Special Help Table'!$A502,"and",""))=3,LEN('Special Help Table'!$A502)-LEN(SUBSTITUTE('Special Help Table'!$A502,",",""))=1,LEN('Special Help Table'!$A502)-LEN(SUBSTITUTE('Special Help Table'!$A502," ",""))=3),'Special Help Table'!$A502)</f>
        <v xml:space="preserve"> Iain H Murray</v>
      </c>
      <c r="C502" s="4" t="s">
        <v>960</v>
      </c>
      <c r="D502" s="2"/>
      <c r="E502" s="2" t="s">
        <v>16</v>
      </c>
      <c r="F502" s="2" t="s">
        <v>39</v>
      </c>
      <c r="G502" s="2"/>
      <c r="H502" s="2"/>
      <c r="I502" s="2"/>
      <c r="J502" s="2"/>
      <c r="K502" s="3">
        <v>42966</v>
      </c>
      <c r="L502" s="2"/>
      <c r="M502" s="2"/>
      <c r="N502" s="2" t="s">
        <v>18</v>
      </c>
    </row>
    <row r="503" spans="1:14" ht="15.75" customHeight="1" x14ac:dyDescent="0.35">
      <c r="A503" s="2" t="s">
        <v>957</v>
      </c>
      <c r="B503" s="2" t="str" cm="1">
        <f t="array" ref="B503">_xlfn.IFS(AND(LEN('Special Help Table'!$A503)-(LEN(SUBSTITUTE('Special Help Table'!$A503,";","")))=0,LEN('Special Help Table'!$A503)-LEN(SUBSTITUTE('Special Help Table'!$A503,",",""))=1,LEN('Special Help Table'!$A503)-LEN(SUBSTITUTE('Special Help Table'!$A503,"and ",""))=0),MID('Special Help Table'!$A503&amp;" "&amp;'Special Help Table'!$A503,SEARCH(", ",'Special Help Table'!$A503)+1,LEN('Special Help Table'!$A503)),AND(LEN('Special Help Table'!$A503)-(LEN(SUBSTITUTE('Special Help Table'!$A503,";","")))=1,LEN('Special Help Table'!$A503)-LEN(SUBSTITUTE('Special Help Table'!$A503,"and ",""))=0),MID('Special Help Table'!$A503,SEARCH(",",'Special Help Table'!$A503)+1,(SEARCH(";",'Special Help Table'!$A503)-1)-SEARCH(",",'Special Help Table'!$A503))&amp;" "&amp;LEFT('Special Help Table'!$A503,SEARCH(",",'Special Help Table'!$A503)-1)&amp;";"&amp;RIGHT('Special Help Table'!$A503,LEN('Special Help Table'!$A503)-SEARCH(",",'Special Help Table'!$A503,SEARCH(";",'Special Help Table'!$A503)))&amp;" "&amp;MID('Special Help Table'!$A503,SEARCH("; ",'Special Help Table'!$A503)+2,SEARCH(",",'Special Help Table'!$A503,SEARCH(";",'Special Help Table'!$A503))-SEARCH(";",'Special Help Table'!$A503)-2),AND(LEN('Special Help Table'!$A503)-LEN(SUBSTITUTE('Special Help Table'!$A503,"and ",""))=0,LEN('Special Help Table'!$A503)-LEN(SUBSTITUTE('Special Help Table'!$A503,";",""))=0),'Special Help Table'!$A503,AND(LEN('Special Help Table'!$A503)-LEN(SUBSTITUTE('Special Help Table'!$A503,",","")=1),LEN('Special Help Table'!$A503)-LEN(SUBSTITUTE('Special Help Table'!$A503," ","")=20),LEN('Special Help Table'!$A503)-LEN(SUBSTITUTE('Special Help Table'!$A503," and",""))=0,LEN('Special Help Table'!$A503)-LEN(SUBSTITUTE('Special Help Table'!$A503,",","",FIND(" ",'Special Help Table'!$A503)+1))=0),RIGHT('Special Help Table'!$A503,LEN('Special Help Table'!$A503)-FIND(", ",'Special Help Table'!$A503))&amp;" "&amp;LEFT('Special Help Table'!$A503,FIND(",",'Special Help Table'!$A503)-1),AND(LEN('Special Help Table'!$A503)-LEN(SUBSTITUTE('Special Help Table'!$A503,"editor",""))=6,LEN('Special Help Table'!$A503)-LEN(SUBSTITUTE('Special Help Table'!$A503,"(",""))=0,LEN('Special Help Table'!$A503)-LEN(SUBSTITUTE('Special Help Table'!$A503,"and",""))=3,LEN('Special Help Table'!$A503)-LEN(SUBSTITUTE('Special Help Table'!$A503,",",""))=1,LEN('Special Help Table'!$A503)-LEN(SUBSTITUTE('Special Help Table'!$A503," ",""))=3),'Special Help Table'!$A503)</f>
        <v xml:space="preserve"> Iain H Murray</v>
      </c>
      <c r="C503" s="4" t="s">
        <v>961</v>
      </c>
      <c r="D503" s="2"/>
      <c r="E503" s="2" t="s">
        <v>16</v>
      </c>
      <c r="F503" s="2" t="s">
        <v>39</v>
      </c>
      <c r="G503" s="2"/>
      <c r="H503" s="2"/>
      <c r="I503" s="2"/>
      <c r="J503" s="2"/>
      <c r="K503" s="3">
        <v>40040</v>
      </c>
      <c r="L503" s="2"/>
      <c r="M503" s="2"/>
      <c r="N503" s="2" t="s">
        <v>18</v>
      </c>
    </row>
    <row r="504" spans="1:14" ht="15.75" customHeight="1" x14ac:dyDescent="0.35">
      <c r="A504" s="2" t="s">
        <v>957</v>
      </c>
      <c r="B504" s="2" t="str" cm="1">
        <f t="array" ref="B504">_xlfn.IFS(AND(LEN('Special Help Table'!$A504)-(LEN(SUBSTITUTE('Special Help Table'!$A504,";","")))=0,LEN('Special Help Table'!$A504)-LEN(SUBSTITUTE('Special Help Table'!$A504,",",""))=1,LEN('Special Help Table'!$A504)-LEN(SUBSTITUTE('Special Help Table'!$A504,"and ",""))=0),MID('Special Help Table'!$A504&amp;" "&amp;'Special Help Table'!$A504,SEARCH(", ",'Special Help Table'!$A504)+1,LEN('Special Help Table'!$A504)),AND(LEN('Special Help Table'!$A504)-(LEN(SUBSTITUTE('Special Help Table'!$A504,";","")))=1,LEN('Special Help Table'!$A504)-LEN(SUBSTITUTE('Special Help Table'!$A504,"and ",""))=0),MID('Special Help Table'!$A504,SEARCH(",",'Special Help Table'!$A504)+1,(SEARCH(";",'Special Help Table'!$A504)-1)-SEARCH(",",'Special Help Table'!$A504))&amp;" "&amp;LEFT('Special Help Table'!$A504,SEARCH(",",'Special Help Table'!$A504)-1)&amp;";"&amp;RIGHT('Special Help Table'!$A504,LEN('Special Help Table'!$A504)-SEARCH(",",'Special Help Table'!$A504,SEARCH(";",'Special Help Table'!$A504)))&amp;" "&amp;MID('Special Help Table'!$A504,SEARCH("; ",'Special Help Table'!$A504)+2,SEARCH(",",'Special Help Table'!$A504,SEARCH(";",'Special Help Table'!$A504))-SEARCH(";",'Special Help Table'!$A504)-2),AND(LEN('Special Help Table'!$A504)-LEN(SUBSTITUTE('Special Help Table'!$A504,"and ",""))=0,LEN('Special Help Table'!$A504)-LEN(SUBSTITUTE('Special Help Table'!$A504,";",""))=0),'Special Help Table'!$A504,AND(LEN('Special Help Table'!$A504)-LEN(SUBSTITUTE('Special Help Table'!$A504,",","")=1),LEN('Special Help Table'!$A504)-LEN(SUBSTITUTE('Special Help Table'!$A504," ","")=20),LEN('Special Help Table'!$A504)-LEN(SUBSTITUTE('Special Help Table'!$A504," and",""))=0,LEN('Special Help Table'!$A504)-LEN(SUBSTITUTE('Special Help Table'!$A504,",","",FIND(" ",'Special Help Table'!$A504)+1))=0),RIGHT('Special Help Table'!$A504,LEN('Special Help Table'!$A504)-FIND(", ",'Special Help Table'!$A504))&amp;" "&amp;LEFT('Special Help Table'!$A504,FIND(",",'Special Help Table'!$A504)-1),AND(LEN('Special Help Table'!$A504)-LEN(SUBSTITUTE('Special Help Table'!$A504,"editor",""))=6,LEN('Special Help Table'!$A504)-LEN(SUBSTITUTE('Special Help Table'!$A504,"(",""))=0,LEN('Special Help Table'!$A504)-LEN(SUBSTITUTE('Special Help Table'!$A504,"and",""))=3,LEN('Special Help Table'!$A504)-LEN(SUBSTITUTE('Special Help Table'!$A504,",",""))=1,LEN('Special Help Table'!$A504)-LEN(SUBSTITUTE('Special Help Table'!$A504," ",""))=3),'Special Help Table'!$A504)</f>
        <v xml:space="preserve"> Iain H Murray</v>
      </c>
      <c r="C504" s="4" t="s">
        <v>962</v>
      </c>
      <c r="D504" s="2"/>
      <c r="E504" s="2" t="s">
        <v>16</v>
      </c>
      <c r="F504" s="2" t="s">
        <v>39</v>
      </c>
      <c r="G504" s="2"/>
      <c r="H504" s="2"/>
      <c r="I504" s="2"/>
      <c r="J504" s="2"/>
      <c r="K504" s="3">
        <v>40041</v>
      </c>
      <c r="L504" s="2"/>
      <c r="M504" s="2"/>
      <c r="N504" s="2" t="s">
        <v>18</v>
      </c>
    </row>
    <row r="505" spans="1:14" ht="15.75" customHeight="1" x14ac:dyDescent="0.35">
      <c r="A505" s="2" t="s">
        <v>957</v>
      </c>
      <c r="B505" s="2" t="str" cm="1">
        <f t="array" ref="B505">_xlfn.IFS(AND(LEN('Special Help Table'!$A505)-(LEN(SUBSTITUTE('Special Help Table'!$A505,";","")))=0,LEN('Special Help Table'!$A505)-LEN(SUBSTITUTE('Special Help Table'!$A505,",",""))=1,LEN('Special Help Table'!$A505)-LEN(SUBSTITUTE('Special Help Table'!$A505,"and ",""))=0),MID('Special Help Table'!$A505&amp;" "&amp;'Special Help Table'!$A505,SEARCH(", ",'Special Help Table'!$A505)+1,LEN('Special Help Table'!$A505)),AND(LEN('Special Help Table'!$A505)-(LEN(SUBSTITUTE('Special Help Table'!$A505,";","")))=1,LEN('Special Help Table'!$A505)-LEN(SUBSTITUTE('Special Help Table'!$A505,"and ",""))=0),MID('Special Help Table'!$A505,SEARCH(",",'Special Help Table'!$A505)+1,(SEARCH(";",'Special Help Table'!$A505)-1)-SEARCH(",",'Special Help Table'!$A505))&amp;" "&amp;LEFT('Special Help Table'!$A505,SEARCH(",",'Special Help Table'!$A505)-1)&amp;";"&amp;RIGHT('Special Help Table'!$A505,LEN('Special Help Table'!$A505)-SEARCH(",",'Special Help Table'!$A505,SEARCH(";",'Special Help Table'!$A505)))&amp;" "&amp;MID('Special Help Table'!$A505,SEARCH("; ",'Special Help Table'!$A505)+2,SEARCH(",",'Special Help Table'!$A505,SEARCH(";",'Special Help Table'!$A505))-SEARCH(";",'Special Help Table'!$A505)-2),AND(LEN('Special Help Table'!$A505)-LEN(SUBSTITUTE('Special Help Table'!$A505,"and ",""))=0,LEN('Special Help Table'!$A505)-LEN(SUBSTITUTE('Special Help Table'!$A505,";",""))=0),'Special Help Table'!$A505,AND(LEN('Special Help Table'!$A505)-LEN(SUBSTITUTE('Special Help Table'!$A505,",","")=1),LEN('Special Help Table'!$A505)-LEN(SUBSTITUTE('Special Help Table'!$A505," ","")=20),LEN('Special Help Table'!$A505)-LEN(SUBSTITUTE('Special Help Table'!$A505," and",""))=0,LEN('Special Help Table'!$A505)-LEN(SUBSTITUTE('Special Help Table'!$A505,",","",FIND(" ",'Special Help Table'!$A505)+1))=0),RIGHT('Special Help Table'!$A505,LEN('Special Help Table'!$A505)-FIND(", ",'Special Help Table'!$A505))&amp;" "&amp;LEFT('Special Help Table'!$A505,FIND(",",'Special Help Table'!$A505)-1),AND(LEN('Special Help Table'!$A505)-LEN(SUBSTITUTE('Special Help Table'!$A505,"editor",""))=6,LEN('Special Help Table'!$A505)-LEN(SUBSTITUTE('Special Help Table'!$A505,"(",""))=0,LEN('Special Help Table'!$A505)-LEN(SUBSTITUTE('Special Help Table'!$A505,"and",""))=3,LEN('Special Help Table'!$A505)-LEN(SUBSTITUTE('Special Help Table'!$A505,",",""))=1,LEN('Special Help Table'!$A505)-LEN(SUBSTITUTE('Special Help Table'!$A505," ",""))=3),'Special Help Table'!$A505)</f>
        <v xml:space="preserve"> Iain H Murray</v>
      </c>
      <c r="C505" s="4" t="s">
        <v>963</v>
      </c>
      <c r="D505" s="2"/>
      <c r="E505" s="2" t="s">
        <v>16</v>
      </c>
      <c r="F505" s="2" t="s">
        <v>39</v>
      </c>
      <c r="G505" s="2"/>
      <c r="H505" s="2"/>
      <c r="I505" s="2"/>
      <c r="J505" s="2"/>
      <c r="K505" s="3">
        <v>40042</v>
      </c>
      <c r="L505" s="2"/>
      <c r="M505" s="2"/>
      <c r="N505" s="2" t="s">
        <v>18</v>
      </c>
    </row>
    <row r="506" spans="1:14" ht="15.75" customHeight="1" x14ac:dyDescent="0.35">
      <c r="A506" s="2" t="s">
        <v>957</v>
      </c>
      <c r="B506" s="2" t="str" cm="1">
        <f t="array" ref="B506">_xlfn.IFS(AND(LEN('Special Help Table'!$A506)-(LEN(SUBSTITUTE('Special Help Table'!$A506,";","")))=0,LEN('Special Help Table'!$A506)-LEN(SUBSTITUTE('Special Help Table'!$A506,",",""))=1,LEN('Special Help Table'!$A506)-LEN(SUBSTITUTE('Special Help Table'!$A506,"and ",""))=0),MID('Special Help Table'!$A506&amp;" "&amp;'Special Help Table'!$A506,SEARCH(", ",'Special Help Table'!$A506)+1,LEN('Special Help Table'!$A506)),AND(LEN('Special Help Table'!$A506)-(LEN(SUBSTITUTE('Special Help Table'!$A506,";","")))=1,LEN('Special Help Table'!$A506)-LEN(SUBSTITUTE('Special Help Table'!$A506,"and ",""))=0),MID('Special Help Table'!$A506,SEARCH(",",'Special Help Table'!$A506)+1,(SEARCH(";",'Special Help Table'!$A506)-1)-SEARCH(",",'Special Help Table'!$A506))&amp;" "&amp;LEFT('Special Help Table'!$A506,SEARCH(",",'Special Help Table'!$A506)-1)&amp;";"&amp;RIGHT('Special Help Table'!$A506,LEN('Special Help Table'!$A506)-SEARCH(",",'Special Help Table'!$A506,SEARCH(";",'Special Help Table'!$A506)))&amp;" "&amp;MID('Special Help Table'!$A506,SEARCH("; ",'Special Help Table'!$A506)+2,SEARCH(",",'Special Help Table'!$A506,SEARCH(";",'Special Help Table'!$A506))-SEARCH(";",'Special Help Table'!$A506)-2),AND(LEN('Special Help Table'!$A506)-LEN(SUBSTITUTE('Special Help Table'!$A506,"and ",""))=0,LEN('Special Help Table'!$A506)-LEN(SUBSTITUTE('Special Help Table'!$A506,";",""))=0),'Special Help Table'!$A506,AND(LEN('Special Help Table'!$A506)-LEN(SUBSTITUTE('Special Help Table'!$A506,",","")=1),LEN('Special Help Table'!$A506)-LEN(SUBSTITUTE('Special Help Table'!$A506," ","")=20),LEN('Special Help Table'!$A506)-LEN(SUBSTITUTE('Special Help Table'!$A506," and",""))=0,LEN('Special Help Table'!$A506)-LEN(SUBSTITUTE('Special Help Table'!$A506,",","",FIND(" ",'Special Help Table'!$A506)+1))=0),RIGHT('Special Help Table'!$A506,LEN('Special Help Table'!$A506)-FIND(", ",'Special Help Table'!$A506))&amp;" "&amp;LEFT('Special Help Table'!$A506,FIND(",",'Special Help Table'!$A506)-1),AND(LEN('Special Help Table'!$A506)-LEN(SUBSTITUTE('Special Help Table'!$A506,"editor",""))=6,LEN('Special Help Table'!$A506)-LEN(SUBSTITUTE('Special Help Table'!$A506,"(",""))=0,LEN('Special Help Table'!$A506)-LEN(SUBSTITUTE('Special Help Table'!$A506,"and",""))=3,LEN('Special Help Table'!$A506)-LEN(SUBSTITUTE('Special Help Table'!$A506,",",""))=1,LEN('Special Help Table'!$A506)-LEN(SUBSTITUTE('Special Help Table'!$A506," ",""))=3),'Special Help Table'!$A506)</f>
        <v xml:space="preserve"> Iain H Murray</v>
      </c>
      <c r="C506" s="4" t="s">
        <v>964</v>
      </c>
      <c r="D506" s="2"/>
      <c r="E506" s="2" t="s">
        <v>16</v>
      </c>
      <c r="F506" s="2" t="s">
        <v>326</v>
      </c>
      <c r="G506" s="2"/>
      <c r="H506" s="2"/>
      <c r="I506" s="2"/>
      <c r="J506" s="2" t="s">
        <v>77</v>
      </c>
      <c r="K506" s="3">
        <v>40043</v>
      </c>
      <c r="L506" s="2"/>
      <c r="M506" s="2"/>
      <c r="N506" s="2" t="s">
        <v>18</v>
      </c>
    </row>
    <row r="507" spans="1:14" ht="15.75" customHeight="1" x14ac:dyDescent="0.35">
      <c r="A507" s="2" t="s">
        <v>957</v>
      </c>
      <c r="B507" s="2" t="str" cm="1">
        <f t="array" ref="B507">_xlfn.IFS(AND(LEN('Special Help Table'!$A507)-(LEN(SUBSTITUTE('Special Help Table'!$A507,";","")))=0,LEN('Special Help Table'!$A507)-LEN(SUBSTITUTE('Special Help Table'!$A507,",",""))=1,LEN('Special Help Table'!$A507)-LEN(SUBSTITUTE('Special Help Table'!$A507,"and ",""))=0),MID('Special Help Table'!$A507&amp;" "&amp;'Special Help Table'!$A507,SEARCH(", ",'Special Help Table'!$A507)+1,LEN('Special Help Table'!$A507)),AND(LEN('Special Help Table'!$A507)-(LEN(SUBSTITUTE('Special Help Table'!$A507,";","")))=1,LEN('Special Help Table'!$A507)-LEN(SUBSTITUTE('Special Help Table'!$A507,"and ",""))=0),MID('Special Help Table'!$A507,SEARCH(",",'Special Help Table'!$A507)+1,(SEARCH(";",'Special Help Table'!$A507)-1)-SEARCH(",",'Special Help Table'!$A507))&amp;" "&amp;LEFT('Special Help Table'!$A507,SEARCH(",",'Special Help Table'!$A507)-1)&amp;";"&amp;RIGHT('Special Help Table'!$A507,LEN('Special Help Table'!$A507)-SEARCH(",",'Special Help Table'!$A507,SEARCH(";",'Special Help Table'!$A507)))&amp;" "&amp;MID('Special Help Table'!$A507,SEARCH("; ",'Special Help Table'!$A507)+2,SEARCH(",",'Special Help Table'!$A507,SEARCH(";",'Special Help Table'!$A507))-SEARCH(";",'Special Help Table'!$A507)-2),AND(LEN('Special Help Table'!$A507)-LEN(SUBSTITUTE('Special Help Table'!$A507,"and ",""))=0,LEN('Special Help Table'!$A507)-LEN(SUBSTITUTE('Special Help Table'!$A507,";",""))=0),'Special Help Table'!$A507,AND(LEN('Special Help Table'!$A507)-LEN(SUBSTITUTE('Special Help Table'!$A507,",","")=1),LEN('Special Help Table'!$A507)-LEN(SUBSTITUTE('Special Help Table'!$A507," ","")=20),LEN('Special Help Table'!$A507)-LEN(SUBSTITUTE('Special Help Table'!$A507," and",""))=0,LEN('Special Help Table'!$A507)-LEN(SUBSTITUTE('Special Help Table'!$A507,",","",FIND(" ",'Special Help Table'!$A507)+1))=0),RIGHT('Special Help Table'!$A507,LEN('Special Help Table'!$A507)-FIND(", ",'Special Help Table'!$A507))&amp;" "&amp;LEFT('Special Help Table'!$A507,FIND(",",'Special Help Table'!$A507)-1),AND(LEN('Special Help Table'!$A507)-LEN(SUBSTITUTE('Special Help Table'!$A507,"editor",""))=6,LEN('Special Help Table'!$A507)-LEN(SUBSTITUTE('Special Help Table'!$A507,"(",""))=0,LEN('Special Help Table'!$A507)-LEN(SUBSTITUTE('Special Help Table'!$A507,"and",""))=3,LEN('Special Help Table'!$A507)-LEN(SUBSTITUTE('Special Help Table'!$A507,",",""))=1,LEN('Special Help Table'!$A507)-LEN(SUBSTITUTE('Special Help Table'!$A507," ",""))=3),'Special Help Table'!$A507)</f>
        <v xml:space="preserve"> Iain H Murray</v>
      </c>
      <c r="C507" s="4" t="s">
        <v>965</v>
      </c>
      <c r="D507" s="2"/>
      <c r="E507" s="2" t="s">
        <v>16</v>
      </c>
      <c r="F507" s="2" t="s">
        <v>326</v>
      </c>
      <c r="G507" s="2"/>
      <c r="H507" s="2"/>
      <c r="I507" s="2"/>
      <c r="J507" s="2" t="s">
        <v>77</v>
      </c>
      <c r="K507" s="3">
        <v>40044</v>
      </c>
      <c r="L507" s="2"/>
      <c r="M507" s="2"/>
      <c r="N507" s="2" t="s">
        <v>18</v>
      </c>
    </row>
    <row r="508" spans="1:14" ht="15.75" customHeight="1" x14ac:dyDescent="0.35">
      <c r="A508" s="2" t="s">
        <v>966</v>
      </c>
      <c r="B508" s="2" t="str" cm="1">
        <f t="array" ref="B508">_xlfn.IFS(AND(LEN('Special Help Table'!$A508)-(LEN(SUBSTITUTE('Special Help Table'!$A508,";","")))=0,LEN('Special Help Table'!$A508)-LEN(SUBSTITUTE('Special Help Table'!$A508,",",""))=1,LEN('Special Help Table'!$A508)-LEN(SUBSTITUTE('Special Help Table'!$A508,"and ",""))=0),MID('Special Help Table'!$A508&amp;" "&amp;'Special Help Table'!$A508,SEARCH(", ",'Special Help Table'!$A508)+1,LEN('Special Help Table'!$A508)),AND(LEN('Special Help Table'!$A508)-(LEN(SUBSTITUTE('Special Help Table'!$A508,";","")))=1,LEN('Special Help Table'!$A508)-LEN(SUBSTITUTE('Special Help Table'!$A508,"and ",""))=0),MID('Special Help Table'!$A508,SEARCH(",",'Special Help Table'!$A508)+1,(SEARCH(";",'Special Help Table'!$A508)-1)-SEARCH(",",'Special Help Table'!$A508))&amp;" "&amp;LEFT('Special Help Table'!$A508,SEARCH(",",'Special Help Table'!$A508)-1)&amp;";"&amp;RIGHT('Special Help Table'!$A508,LEN('Special Help Table'!$A508)-SEARCH(",",'Special Help Table'!$A508,SEARCH(";",'Special Help Table'!$A508)))&amp;" "&amp;MID('Special Help Table'!$A508,SEARCH("; ",'Special Help Table'!$A508)+2,SEARCH(",",'Special Help Table'!$A508,SEARCH(";",'Special Help Table'!$A508))-SEARCH(";",'Special Help Table'!$A508)-2),AND(LEN('Special Help Table'!$A508)-LEN(SUBSTITUTE('Special Help Table'!$A508,"and ",""))=0,LEN('Special Help Table'!$A508)-LEN(SUBSTITUTE('Special Help Table'!$A508,";",""))=0),'Special Help Table'!$A508,AND(LEN('Special Help Table'!$A508)-LEN(SUBSTITUTE('Special Help Table'!$A508,",","")=1),LEN('Special Help Table'!$A508)-LEN(SUBSTITUTE('Special Help Table'!$A508," ","")=20),LEN('Special Help Table'!$A508)-LEN(SUBSTITUTE('Special Help Table'!$A508," and",""))=0,LEN('Special Help Table'!$A508)-LEN(SUBSTITUTE('Special Help Table'!$A508,",","",FIND(" ",'Special Help Table'!$A508)+1))=0),RIGHT('Special Help Table'!$A508,LEN('Special Help Table'!$A508)-FIND(", ",'Special Help Table'!$A508))&amp;" "&amp;LEFT('Special Help Table'!$A508,FIND(",",'Special Help Table'!$A508)-1),AND(LEN('Special Help Table'!$A508)-LEN(SUBSTITUTE('Special Help Table'!$A508,"editor",""))=6,LEN('Special Help Table'!$A508)-LEN(SUBSTITUTE('Special Help Table'!$A508,"(",""))=0,LEN('Special Help Table'!$A508)-LEN(SUBSTITUTE('Special Help Table'!$A508,"and",""))=3,LEN('Special Help Table'!$A508)-LEN(SUBSTITUTE('Special Help Table'!$A508,",",""))=1,LEN('Special Help Table'!$A508)-LEN(SUBSTITUTE('Special Help Table'!$A508," ",""))=3),'Special Help Table'!$A508)</f>
        <v xml:space="preserve"> Iain H. Murray</v>
      </c>
      <c r="C508" s="4" t="s">
        <v>967</v>
      </c>
      <c r="D508" s="2"/>
      <c r="E508" s="2" t="s">
        <v>16</v>
      </c>
      <c r="F508" s="2" t="s">
        <v>39</v>
      </c>
      <c r="G508" s="2"/>
      <c r="H508" s="2"/>
      <c r="I508" s="2"/>
      <c r="J508" s="2" t="s">
        <v>59</v>
      </c>
      <c r="K508" s="3"/>
      <c r="L508" s="2"/>
      <c r="M508" s="2"/>
      <c r="N508" s="2" t="s">
        <v>18</v>
      </c>
    </row>
    <row r="509" spans="1:14" ht="15.75" customHeight="1" x14ac:dyDescent="0.35">
      <c r="A509" s="2" t="s">
        <v>966</v>
      </c>
      <c r="B509" s="2" t="str" cm="1">
        <f t="array" ref="B509">_xlfn.IFS(AND(LEN('Special Help Table'!$A509)-(LEN(SUBSTITUTE('Special Help Table'!$A509,";","")))=0,LEN('Special Help Table'!$A509)-LEN(SUBSTITUTE('Special Help Table'!$A509,",",""))=1,LEN('Special Help Table'!$A509)-LEN(SUBSTITUTE('Special Help Table'!$A509,"and ",""))=0),MID('Special Help Table'!$A509&amp;" "&amp;'Special Help Table'!$A509,SEARCH(", ",'Special Help Table'!$A509)+1,LEN('Special Help Table'!$A509)),AND(LEN('Special Help Table'!$A509)-(LEN(SUBSTITUTE('Special Help Table'!$A509,";","")))=1,LEN('Special Help Table'!$A509)-LEN(SUBSTITUTE('Special Help Table'!$A509,"and ",""))=0),MID('Special Help Table'!$A509,SEARCH(",",'Special Help Table'!$A509)+1,(SEARCH(";",'Special Help Table'!$A509)-1)-SEARCH(",",'Special Help Table'!$A509))&amp;" "&amp;LEFT('Special Help Table'!$A509,SEARCH(",",'Special Help Table'!$A509)-1)&amp;";"&amp;RIGHT('Special Help Table'!$A509,LEN('Special Help Table'!$A509)-SEARCH(",",'Special Help Table'!$A509,SEARCH(";",'Special Help Table'!$A509)))&amp;" "&amp;MID('Special Help Table'!$A509,SEARCH("; ",'Special Help Table'!$A509)+2,SEARCH(",",'Special Help Table'!$A509,SEARCH(";",'Special Help Table'!$A509))-SEARCH(";",'Special Help Table'!$A509)-2),AND(LEN('Special Help Table'!$A509)-LEN(SUBSTITUTE('Special Help Table'!$A509,"and ",""))=0,LEN('Special Help Table'!$A509)-LEN(SUBSTITUTE('Special Help Table'!$A509,";",""))=0),'Special Help Table'!$A509,AND(LEN('Special Help Table'!$A509)-LEN(SUBSTITUTE('Special Help Table'!$A509,",","")=1),LEN('Special Help Table'!$A509)-LEN(SUBSTITUTE('Special Help Table'!$A509," ","")=20),LEN('Special Help Table'!$A509)-LEN(SUBSTITUTE('Special Help Table'!$A509," and",""))=0,LEN('Special Help Table'!$A509)-LEN(SUBSTITUTE('Special Help Table'!$A509,",","",FIND(" ",'Special Help Table'!$A509)+1))=0),RIGHT('Special Help Table'!$A509,LEN('Special Help Table'!$A509)-FIND(", ",'Special Help Table'!$A509))&amp;" "&amp;LEFT('Special Help Table'!$A509,FIND(",",'Special Help Table'!$A509)-1),AND(LEN('Special Help Table'!$A509)-LEN(SUBSTITUTE('Special Help Table'!$A509,"editor",""))=6,LEN('Special Help Table'!$A509)-LEN(SUBSTITUTE('Special Help Table'!$A509,"(",""))=0,LEN('Special Help Table'!$A509)-LEN(SUBSTITUTE('Special Help Table'!$A509,"and",""))=3,LEN('Special Help Table'!$A509)-LEN(SUBSTITUTE('Special Help Table'!$A509,",",""))=1,LEN('Special Help Table'!$A509)-LEN(SUBSTITUTE('Special Help Table'!$A509," ",""))=3),'Special Help Table'!$A509)</f>
        <v xml:space="preserve"> Iain H. Murray</v>
      </c>
      <c r="C509" s="4" t="s">
        <v>968</v>
      </c>
      <c r="D509" s="2"/>
      <c r="E509" s="2" t="s">
        <v>16</v>
      </c>
      <c r="F509" s="2" t="s">
        <v>39</v>
      </c>
      <c r="G509" s="2"/>
      <c r="H509" s="2"/>
      <c r="I509" s="2"/>
      <c r="J509" s="2"/>
      <c r="K509" s="3"/>
      <c r="L509" s="2"/>
      <c r="M509" s="2"/>
      <c r="N509" s="2" t="s">
        <v>18</v>
      </c>
    </row>
    <row r="510" spans="1:14" ht="15.75" customHeight="1" x14ac:dyDescent="0.35">
      <c r="A510" s="2" t="s">
        <v>966</v>
      </c>
      <c r="B510" s="2" t="str" cm="1">
        <f t="array" ref="B510">_xlfn.IFS(AND(LEN('Special Help Table'!$A510)-(LEN(SUBSTITUTE('Special Help Table'!$A510,";","")))=0,LEN('Special Help Table'!$A510)-LEN(SUBSTITUTE('Special Help Table'!$A510,",",""))=1,LEN('Special Help Table'!$A510)-LEN(SUBSTITUTE('Special Help Table'!$A510,"and ",""))=0),MID('Special Help Table'!$A510&amp;" "&amp;'Special Help Table'!$A510,SEARCH(", ",'Special Help Table'!$A510)+1,LEN('Special Help Table'!$A510)),AND(LEN('Special Help Table'!$A510)-(LEN(SUBSTITUTE('Special Help Table'!$A510,";","")))=1,LEN('Special Help Table'!$A510)-LEN(SUBSTITUTE('Special Help Table'!$A510,"and ",""))=0),MID('Special Help Table'!$A510,SEARCH(",",'Special Help Table'!$A510)+1,(SEARCH(";",'Special Help Table'!$A510)-1)-SEARCH(",",'Special Help Table'!$A510))&amp;" "&amp;LEFT('Special Help Table'!$A510,SEARCH(",",'Special Help Table'!$A510)-1)&amp;";"&amp;RIGHT('Special Help Table'!$A510,LEN('Special Help Table'!$A510)-SEARCH(",",'Special Help Table'!$A510,SEARCH(";",'Special Help Table'!$A510)))&amp;" "&amp;MID('Special Help Table'!$A510,SEARCH("; ",'Special Help Table'!$A510)+2,SEARCH(",",'Special Help Table'!$A510,SEARCH(";",'Special Help Table'!$A510))-SEARCH(";",'Special Help Table'!$A510)-2),AND(LEN('Special Help Table'!$A510)-LEN(SUBSTITUTE('Special Help Table'!$A510,"and ",""))=0,LEN('Special Help Table'!$A510)-LEN(SUBSTITUTE('Special Help Table'!$A510,";",""))=0),'Special Help Table'!$A510,AND(LEN('Special Help Table'!$A510)-LEN(SUBSTITUTE('Special Help Table'!$A510,",","")=1),LEN('Special Help Table'!$A510)-LEN(SUBSTITUTE('Special Help Table'!$A510," ","")=20),LEN('Special Help Table'!$A510)-LEN(SUBSTITUTE('Special Help Table'!$A510," and",""))=0,LEN('Special Help Table'!$A510)-LEN(SUBSTITUTE('Special Help Table'!$A510,",","",FIND(" ",'Special Help Table'!$A510)+1))=0),RIGHT('Special Help Table'!$A510,LEN('Special Help Table'!$A510)-FIND(", ",'Special Help Table'!$A510))&amp;" "&amp;LEFT('Special Help Table'!$A510,FIND(",",'Special Help Table'!$A510)-1),AND(LEN('Special Help Table'!$A510)-LEN(SUBSTITUTE('Special Help Table'!$A510,"editor",""))=6,LEN('Special Help Table'!$A510)-LEN(SUBSTITUTE('Special Help Table'!$A510,"(",""))=0,LEN('Special Help Table'!$A510)-LEN(SUBSTITUTE('Special Help Table'!$A510,"and",""))=3,LEN('Special Help Table'!$A510)-LEN(SUBSTITUTE('Special Help Table'!$A510,",",""))=1,LEN('Special Help Table'!$A510)-LEN(SUBSTITUTE('Special Help Table'!$A510," ",""))=3),'Special Help Table'!$A510)</f>
        <v xml:space="preserve"> Iain H. Murray</v>
      </c>
      <c r="C510" s="4" t="s">
        <v>969</v>
      </c>
      <c r="D510" s="2"/>
      <c r="E510" s="2" t="s">
        <v>16</v>
      </c>
      <c r="F510" s="2" t="s">
        <v>39</v>
      </c>
      <c r="G510" s="2"/>
      <c r="H510" s="2"/>
      <c r="I510" s="2"/>
      <c r="J510" s="2"/>
      <c r="K510" s="3"/>
      <c r="L510" s="2"/>
      <c r="M510" s="2"/>
      <c r="N510" s="2" t="s">
        <v>18</v>
      </c>
    </row>
    <row r="511" spans="1:14" ht="15.75" customHeight="1" x14ac:dyDescent="0.35">
      <c r="A511" s="2" t="s">
        <v>970</v>
      </c>
      <c r="B511" s="2" t="str" cm="1">
        <f t="array" ref="B511">_xlfn.IFS(AND(LEN('Special Help Table'!$A511)-(LEN(SUBSTITUTE('Special Help Table'!$A511,";","")))=0,LEN('Special Help Table'!$A511)-LEN(SUBSTITUTE('Special Help Table'!$A511,",",""))=1,LEN('Special Help Table'!$A511)-LEN(SUBSTITUTE('Special Help Table'!$A511,"and ",""))=0),MID('Special Help Table'!$A511&amp;" "&amp;'Special Help Table'!$A511,SEARCH(", ",'Special Help Table'!$A511)+1,LEN('Special Help Table'!$A511)),AND(LEN('Special Help Table'!$A511)-(LEN(SUBSTITUTE('Special Help Table'!$A511,";","")))=1,LEN('Special Help Table'!$A511)-LEN(SUBSTITUTE('Special Help Table'!$A511,"and ",""))=0),MID('Special Help Table'!$A511,SEARCH(",",'Special Help Table'!$A511)+1,(SEARCH(";",'Special Help Table'!$A511)-1)-SEARCH(",",'Special Help Table'!$A511))&amp;" "&amp;LEFT('Special Help Table'!$A511,SEARCH(",",'Special Help Table'!$A511)-1)&amp;";"&amp;RIGHT('Special Help Table'!$A511,LEN('Special Help Table'!$A511)-SEARCH(",",'Special Help Table'!$A511,SEARCH(";",'Special Help Table'!$A511)))&amp;" "&amp;MID('Special Help Table'!$A511,SEARCH("; ",'Special Help Table'!$A511)+2,SEARCH(",",'Special Help Table'!$A511,SEARCH(";",'Special Help Table'!$A511))-SEARCH(";",'Special Help Table'!$A511)-2),AND(LEN('Special Help Table'!$A511)-LEN(SUBSTITUTE('Special Help Table'!$A511,"and ",""))=0,LEN('Special Help Table'!$A511)-LEN(SUBSTITUTE('Special Help Table'!$A511,";",""))=0),'Special Help Table'!$A511,AND(LEN('Special Help Table'!$A511)-LEN(SUBSTITUTE('Special Help Table'!$A511,",","")=1),LEN('Special Help Table'!$A511)-LEN(SUBSTITUTE('Special Help Table'!$A511," ","")=20),LEN('Special Help Table'!$A511)-LEN(SUBSTITUTE('Special Help Table'!$A511," and",""))=0,LEN('Special Help Table'!$A511)-LEN(SUBSTITUTE('Special Help Table'!$A511,",","",FIND(" ",'Special Help Table'!$A511)+1))=0),RIGHT('Special Help Table'!$A511,LEN('Special Help Table'!$A511)-FIND(", ",'Special Help Table'!$A511))&amp;" "&amp;LEFT('Special Help Table'!$A511,FIND(",",'Special Help Table'!$A511)-1),AND(LEN('Special Help Table'!$A511)-LEN(SUBSTITUTE('Special Help Table'!$A511,"editor",""))=6,LEN('Special Help Table'!$A511)-LEN(SUBSTITUTE('Special Help Table'!$A511,"(",""))=0,LEN('Special Help Table'!$A511)-LEN(SUBSTITUTE('Special Help Table'!$A511,"and",""))=3,LEN('Special Help Table'!$A511)-LEN(SUBSTITUTE('Special Help Table'!$A511,",",""))=1,LEN('Special Help Table'!$A511)-LEN(SUBSTITUTE('Special Help Table'!$A511," ",""))=3),'Special Help Table'!$A511)</f>
        <v xml:space="preserve"> John J. Murray</v>
      </c>
      <c r="C511" s="4" t="s">
        <v>971</v>
      </c>
      <c r="D511" s="2" t="s">
        <v>160</v>
      </c>
      <c r="E511" s="2" t="s">
        <v>16</v>
      </c>
      <c r="F511" s="2" t="s">
        <v>39</v>
      </c>
      <c r="G511" s="2"/>
      <c r="H511" s="2"/>
      <c r="I511" s="2"/>
      <c r="J511" s="2"/>
      <c r="K511" s="3">
        <v>43704</v>
      </c>
      <c r="L511" s="2"/>
      <c r="M511" s="2"/>
      <c r="N511" s="2" t="s">
        <v>18</v>
      </c>
    </row>
    <row r="512" spans="1:14" ht="15.75" customHeight="1" x14ac:dyDescent="0.35">
      <c r="A512" s="2" t="s">
        <v>972</v>
      </c>
      <c r="B512" s="2" t="e" cm="1">
        <f t="array" ref="B512">_xlfn.IFS(AND(LEN('Special Help Table'!$A512)-(LEN(SUBSTITUTE('Special Help Table'!$A512,";","")))=0,LEN('Special Help Table'!$A512)-LEN(SUBSTITUTE('Special Help Table'!$A512,",",""))=1,LEN('Special Help Table'!$A512)-LEN(SUBSTITUTE('Special Help Table'!$A512,"and ",""))=0),MID('Special Help Table'!$A512&amp;" "&amp;'Special Help Table'!$A512,SEARCH(", ",'Special Help Table'!$A512)+1,LEN('Special Help Table'!$A512)),AND(LEN('Special Help Table'!$A512)-(LEN(SUBSTITUTE('Special Help Table'!$A512,";","")))=1,LEN('Special Help Table'!$A512)-LEN(SUBSTITUTE('Special Help Table'!$A512,"and ",""))=0),MID('Special Help Table'!$A512,SEARCH(",",'Special Help Table'!$A512)+1,(SEARCH(";",'Special Help Table'!$A512)-1)-SEARCH(",",'Special Help Table'!$A512))&amp;" "&amp;LEFT('Special Help Table'!$A512,SEARCH(",",'Special Help Table'!$A512)-1)&amp;";"&amp;RIGHT('Special Help Table'!$A512,LEN('Special Help Table'!$A512)-SEARCH(",",'Special Help Table'!$A512,SEARCH(";",'Special Help Table'!$A512)))&amp;" "&amp;MID('Special Help Table'!$A512,SEARCH("; ",'Special Help Table'!$A512)+2,SEARCH(",",'Special Help Table'!$A512,SEARCH(";",'Special Help Table'!$A512))-SEARCH(";",'Special Help Table'!$A512)-2),AND(LEN('Special Help Table'!$A512)-LEN(SUBSTITUTE('Special Help Table'!$A512,"and ",""))=0,LEN('Special Help Table'!$A512)-LEN(SUBSTITUTE('Special Help Table'!$A512,";",""))=0),'Special Help Table'!$A512,AND(LEN('Special Help Table'!$A512)-LEN(SUBSTITUTE('Special Help Table'!$A512,",","")=1),LEN('Special Help Table'!$A512)-LEN(SUBSTITUTE('Special Help Table'!$A512," ","")=20),LEN('Special Help Table'!$A512)-LEN(SUBSTITUTE('Special Help Table'!$A512," and",""))=0,LEN('Special Help Table'!$A512)-LEN(SUBSTITUTE('Special Help Table'!$A512,",","",FIND(" ",'Special Help Table'!$A512)+1))=0),RIGHT('Special Help Table'!$A512,LEN('Special Help Table'!$A512)-FIND(", ",'Special Help Table'!$A512))&amp;" "&amp;LEFT('Special Help Table'!$A512,FIND(",",'Special Help Table'!$A512)-1),AND(LEN('Special Help Table'!$A512)-LEN(SUBSTITUTE('Special Help Table'!$A512,"editor",""))=6,LEN('Special Help Table'!$A512)-LEN(SUBSTITUTE('Special Help Table'!$A512,"(",""))=0,LEN('Special Help Table'!$A512)-LEN(SUBSTITUTE('Special Help Table'!$A512,"and",""))=3,LEN('Special Help Table'!$A512)-LEN(SUBSTITUTE('Special Help Table'!$A512,",",""))=1,LEN('Special Help Table'!$A512)-LEN(SUBSTITUTE('Special Help Table'!$A512," ",""))=3),'Special Help Table'!$A512)</f>
        <v>#N/A</v>
      </c>
      <c r="C512" s="4" t="s">
        <v>973</v>
      </c>
      <c r="D512" s="2"/>
      <c r="E512" s="2" t="s">
        <v>471</v>
      </c>
      <c r="F512" s="2" t="s">
        <v>36</v>
      </c>
      <c r="G512" s="2"/>
      <c r="H512" s="2"/>
      <c r="I512" s="2"/>
      <c r="J512" s="2"/>
      <c r="K512" s="3">
        <v>43095</v>
      </c>
      <c r="L512" s="2"/>
      <c r="M512" s="2"/>
      <c r="N512" s="2" t="s">
        <v>18</v>
      </c>
    </row>
    <row r="513" spans="1:14" ht="15.75" customHeight="1" x14ac:dyDescent="0.35">
      <c r="A513" s="2" t="s">
        <v>974</v>
      </c>
      <c r="B513" s="2" t="str" cm="1">
        <f t="array" ref="B513">_xlfn.IFS(AND(LEN('Special Help Table'!$A513)-(LEN(SUBSTITUTE('Special Help Table'!$A513,";","")))=0,LEN('Special Help Table'!$A513)-LEN(SUBSTITUTE('Special Help Table'!$A513,",",""))=1,LEN('Special Help Table'!$A513)-LEN(SUBSTITUTE('Special Help Table'!$A513,"and ",""))=0),MID('Special Help Table'!$A513&amp;" "&amp;'Special Help Table'!$A513,SEARCH(", ",'Special Help Table'!$A513)+1,LEN('Special Help Table'!$A513)),AND(LEN('Special Help Table'!$A513)-(LEN(SUBSTITUTE('Special Help Table'!$A513,";","")))=1,LEN('Special Help Table'!$A513)-LEN(SUBSTITUTE('Special Help Table'!$A513,"and ",""))=0),MID('Special Help Table'!$A513,SEARCH(",",'Special Help Table'!$A513)+1,(SEARCH(";",'Special Help Table'!$A513)-1)-SEARCH(",",'Special Help Table'!$A513))&amp;" "&amp;LEFT('Special Help Table'!$A513,SEARCH(",",'Special Help Table'!$A513)-1)&amp;";"&amp;RIGHT('Special Help Table'!$A513,LEN('Special Help Table'!$A513)-SEARCH(",",'Special Help Table'!$A513,SEARCH(";",'Special Help Table'!$A513)))&amp;" "&amp;MID('Special Help Table'!$A513,SEARCH("; ",'Special Help Table'!$A513)+2,SEARCH(",",'Special Help Table'!$A513,SEARCH(";",'Special Help Table'!$A513))-SEARCH(";",'Special Help Table'!$A513)-2),AND(LEN('Special Help Table'!$A513)-LEN(SUBSTITUTE('Special Help Table'!$A513,"and ",""))=0,LEN('Special Help Table'!$A513)-LEN(SUBSTITUTE('Special Help Table'!$A513,";",""))=0),'Special Help Table'!$A513,AND(LEN('Special Help Table'!$A513)-LEN(SUBSTITUTE('Special Help Table'!$A513,",","")=1),LEN('Special Help Table'!$A513)-LEN(SUBSTITUTE('Special Help Table'!$A513," ","")=20),LEN('Special Help Table'!$A513)-LEN(SUBSTITUTE('Special Help Table'!$A513," and",""))=0,LEN('Special Help Table'!$A513)-LEN(SUBSTITUTE('Special Help Table'!$A513,",","",FIND(" ",'Special Help Table'!$A513)+1))=0),RIGHT('Special Help Table'!$A513,LEN('Special Help Table'!$A513)-FIND(", ",'Special Help Table'!$A513))&amp;" "&amp;LEFT('Special Help Table'!$A513,FIND(",",'Special Help Table'!$A513)-1),AND(LEN('Special Help Table'!$A513)-LEN(SUBSTITUTE('Special Help Table'!$A513,"editor",""))=6,LEN('Special Help Table'!$A513)-LEN(SUBSTITUTE('Special Help Table'!$A513,"(",""))=0,LEN('Special Help Table'!$A513)-LEN(SUBSTITUTE('Special Help Table'!$A513,"and",""))=3,LEN('Special Help Table'!$A513)-LEN(SUBSTITUTE('Special Help Table'!$A513,",",""))=1,LEN('Special Help Table'!$A513)-LEN(SUBSTITUTE('Special Help Table'!$A513," ",""))=3),'Special Help Table'!$A513)</f>
        <v xml:space="preserve"> Andrew David Naselli</v>
      </c>
      <c r="C513" s="4" t="s">
        <v>975</v>
      </c>
      <c r="D513" s="2" t="s">
        <v>976</v>
      </c>
      <c r="E513" s="2" t="s">
        <v>16</v>
      </c>
      <c r="F513" s="2" t="s">
        <v>36</v>
      </c>
      <c r="G513" s="2"/>
      <c r="H513" s="2"/>
      <c r="I513" s="2"/>
      <c r="J513" s="2"/>
      <c r="K513" s="3">
        <v>42561</v>
      </c>
      <c r="L513" s="2"/>
      <c r="M513" s="2"/>
      <c r="N513" s="2" t="s">
        <v>18</v>
      </c>
    </row>
    <row r="514" spans="1:14" ht="15.75" customHeight="1" x14ac:dyDescent="0.35">
      <c r="A514" s="2" t="s">
        <v>974</v>
      </c>
      <c r="B514" s="2" t="str" cm="1">
        <f t="array" ref="B514">_xlfn.IFS(AND(LEN('Special Help Table'!$A514)-(LEN(SUBSTITUTE('Special Help Table'!$A514,";","")))=0,LEN('Special Help Table'!$A514)-LEN(SUBSTITUTE('Special Help Table'!$A514,",",""))=1,LEN('Special Help Table'!$A514)-LEN(SUBSTITUTE('Special Help Table'!$A514,"and ",""))=0),MID('Special Help Table'!$A514&amp;" "&amp;'Special Help Table'!$A514,SEARCH(", ",'Special Help Table'!$A514)+1,LEN('Special Help Table'!$A514)),AND(LEN('Special Help Table'!$A514)-(LEN(SUBSTITUTE('Special Help Table'!$A514,";","")))=1,LEN('Special Help Table'!$A514)-LEN(SUBSTITUTE('Special Help Table'!$A514,"and ",""))=0),MID('Special Help Table'!$A514,SEARCH(",",'Special Help Table'!$A514)+1,(SEARCH(";",'Special Help Table'!$A514)-1)-SEARCH(",",'Special Help Table'!$A514))&amp;" "&amp;LEFT('Special Help Table'!$A514,SEARCH(",",'Special Help Table'!$A514)-1)&amp;";"&amp;RIGHT('Special Help Table'!$A514,LEN('Special Help Table'!$A514)-SEARCH(",",'Special Help Table'!$A514,SEARCH(";",'Special Help Table'!$A514)))&amp;" "&amp;MID('Special Help Table'!$A514,SEARCH("; ",'Special Help Table'!$A514)+2,SEARCH(",",'Special Help Table'!$A514,SEARCH(";",'Special Help Table'!$A514))-SEARCH(";",'Special Help Table'!$A514)-2),AND(LEN('Special Help Table'!$A514)-LEN(SUBSTITUTE('Special Help Table'!$A514,"and ",""))=0,LEN('Special Help Table'!$A514)-LEN(SUBSTITUTE('Special Help Table'!$A514,";",""))=0),'Special Help Table'!$A514,AND(LEN('Special Help Table'!$A514)-LEN(SUBSTITUTE('Special Help Table'!$A514,",","")=1),LEN('Special Help Table'!$A514)-LEN(SUBSTITUTE('Special Help Table'!$A514," ","")=20),LEN('Special Help Table'!$A514)-LEN(SUBSTITUTE('Special Help Table'!$A514," and",""))=0,LEN('Special Help Table'!$A514)-LEN(SUBSTITUTE('Special Help Table'!$A514,",","",FIND(" ",'Special Help Table'!$A514)+1))=0),RIGHT('Special Help Table'!$A514,LEN('Special Help Table'!$A514)-FIND(", ",'Special Help Table'!$A514))&amp;" "&amp;LEFT('Special Help Table'!$A514,FIND(",",'Special Help Table'!$A514)-1),AND(LEN('Special Help Table'!$A514)-LEN(SUBSTITUTE('Special Help Table'!$A514,"editor",""))=6,LEN('Special Help Table'!$A514)-LEN(SUBSTITUTE('Special Help Table'!$A514,"(",""))=0,LEN('Special Help Table'!$A514)-LEN(SUBSTITUTE('Special Help Table'!$A514,"and",""))=3,LEN('Special Help Table'!$A514)-LEN(SUBSTITUTE('Special Help Table'!$A514,",",""))=1,LEN('Special Help Table'!$A514)-LEN(SUBSTITUTE('Special Help Table'!$A514," ",""))=3),'Special Help Table'!$A514)</f>
        <v xml:space="preserve"> Andrew David Naselli</v>
      </c>
      <c r="C514" s="4" t="s">
        <v>977</v>
      </c>
      <c r="D514" s="2"/>
      <c r="E514" s="2" t="s">
        <v>16</v>
      </c>
      <c r="F514" s="2" t="s">
        <v>76</v>
      </c>
      <c r="G514" s="2"/>
      <c r="H514" s="2"/>
      <c r="I514" s="2"/>
      <c r="J514" s="2"/>
      <c r="K514" s="3">
        <v>42856</v>
      </c>
      <c r="L514" s="2"/>
      <c r="M514" s="2"/>
      <c r="N514" s="2" t="s">
        <v>18</v>
      </c>
    </row>
    <row r="515" spans="1:14" ht="15.75" customHeight="1" x14ac:dyDescent="0.35">
      <c r="A515" s="2" t="s">
        <v>978</v>
      </c>
      <c r="B515" s="2" t="str" cm="1">
        <f t="array" ref="B515">_xlfn.IFS(AND(LEN('Special Help Table'!$A515)-(LEN(SUBSTITUTE('Special Help Table'!$A515,";","")))=0,LEN('Special Help Table'!$A515)-LEN(SUBSTITUTE('Special Help Table'!$A515,",",""))=1,LEN('Special Help Table'!$A515)-LEN(SUBSTITUTE('Special Help Table'!$A515,"and ",""))=0),MID('Special Help Table'!$A515&amp;" "&amp;'Special Help Table'!$A515,SEARCH(", ",'Special Help Table'!$A515)+1,LEN('Special Help Table'!$A515)),AND(LEN('Special Help Table'!$A515)-(LEN(SUBSTITUTE('Special Help Table'!$A515,";","")))=1,LEN('Special Help Table'!$A515)-LEN(SUBSTITUTE('Special Help Table'!$A515,"and ",""))=0),MID('Special Help Table'!$A515,SEARCH(",",'Special Help Table'!$A515)+1,(SEARCH(";",'Special Help Table'!$A515)-1)-SEARCH(",",'Special Help Table'!$A515))&amp;" "&amp;LEFT('Special Help Table'!$A515,SEARCH(",",'Special Help Table'!$A515)-1)&amp;";"&amp;RIGHT('Special Help Table'!$A515,LEN('Special Help Table'!$A515)-SEARCH(",",'Special Help Table'!$A515,SEARCH(";",'Special Help Table'!$A515)))&amp;" "&amp;MID('Special Help Table'!$A515,SEARCH("; ",'Special Help Table'!$A515)+2,SEARCH(",",'Special Help Table'!$A515,SEARCH(";",'Special Help Table'!$A515))-SEARCH(";",'Special Help Table'!$A515)-2),AND(LEN('Special Help Table'!$A515)-LEN(SUBSTITUTE('Special Help Table'!$A515,"and ",""))=0,LEN('Special Help Table'!$A515)-LEN(SUBSTITUTE('Special Help Table'!$A515,";",""))=0),'Special Help Table'!$A515,AND(LEN('Special Help Table'!$A515)-LEN(SUBSTITUTE('Special Help Table'!$A515,",","")=1),LEN('Special Help Table'!$A515)-LEN(SUBSTITUTE('Special Help Table'!$A515," ","")=20),LEN('Special Help Table'!$A515)-LEN(SUBSTITUTE('Special Help Table'!$A515," and",""))=0,LEN('Special Help Table'!$A515)-LEN(SUBSTITUTE('Special Help Table'!$A515,",","",FIND(" ",'Special Help Table'!$A515)+1))=0),RIGHT('Special Help Table'!$A515,LEN('Special Help Table'!$A515)-FIND(", ",'Special Help Table'!$A515))&amp;" "&amp;LEFT('Special Help Table'!$A515,FIND(",",'Special Help Table'!$A515)-1),AND(LEN('Special Help Table'!$A515)-LEN(SUBSTITUTE('Special Help Table'!$A515,"editor",""))=6,LEN('Special Help Table'!$A515)-LEN(SUBSTITUTE('Special Help Table'!$A515,"(",""))=0,LEN('Special Help Table'!$A515)-LEN(SUBSTITUTE('Special Help Table'!$A515,"and",""))=3,LEN('Special Help Table'!$A515)-LEN(SUBSTITUTE('Special Help Table'!$A515,",",""))=1,LEN('Special Help Table'!$A515)-LEN(SUBSTITUTE('Special Help Table'!$A515," ",""))=3),'Special Help Table'!$A515)</f>
        <v xml:space="preserve"> Trillia Newbell</v>
      </c>
      <c r="C515" s="4" t="s">
        <v>979</v>
      </c>
      <c r="D515" s="2"/>
      <c r="E515" s="2" t="s">
        <v>16</v>
      </c>
      <c r="F515" s="2" t="s">
        <v>72</v>
      </c>
      <c r="G515" s="2"/>
      <c r="H515" s="2"/>
      <c r="I515" s="2"/>
      <c r="J515" s="2"/>
      <c r="K515" s="3"/>
      <c r="L515" s="2"/>
      <c r="M515" s="2"/>
      <c r="N515" s="2" t="s">
        <v>18</v>
      </c>
    </row>
    <row r="516" spans="1:14" ht="15.75" customHeight="1" x14ac:dyDescent="0.35">
      <c r="A516" s="2" t="s">
        <v>980</v>
      </c>
      <c r="B516" s="2" t="str" cm="1">
        <f t="array" ref="B516">_xlfn.IFS(AND(LEN('Special Help Table'!$A516)-(LEN(SUBSTITUTE('Special Help Table'!$A516,";","")))=0,LEN('Special Help Table'!$A516)-LEN(SUBSTITUTE('Special Help Table'!$A516,",",""))=1,LEN('Special Help Table'!$A516)-LEN(SUBSTITUTE('Special Help Table'!$A516,"and ",""))=0),MID('Special Help Table'!$A516&amp;" "&amp;'Special Help Table'!$A516,SEARCH(", ",'Special Help Table'!$A516)+1,LEN('Special Help Table'!$A516)),AND(LEN('Special Help Table'!$A516)-(LEN(SUBSTITUTE('Special Help Table'!$A516,";","")))=1,LEN('Special Help Table'!$A516)-LEN(SUBSTITUTE('Special Help Table'!$A516,"and ",""))=0),MID('Special Help Table'!$A516,SEARCH(",",'Special Help Table'!$A516)+1,(SEARCH(";",'Special Help Table'!$A516)-1)-SEARCH(",",'Special Help Table'!$A516))&amp;" "&amp;LEFT('Special Help Table'!$A516,SEARCH(",",'Special Help Table'!$A516)-1)&amp;";"&amp;RIGHT('Special Help Table'!$A516,LEN('Special Help Table'!$A516)-SEARCH(",",'Special Help Table'!$A516,SEARCH(";",'Special Help Table'!$A516)))&amp;" "&amp;MID('Special Help Table'!$A516,SEARCH("; ",'Special Help Table'!$A516)+2,SEARCH(",",'Special Help Table'!$A516,SEARCH(";",'Special Help Table'!$A516))-SEARCH(";",'Special Help Table'!$A516)-2),AND(LEN('Special Help Table'!$A516)-LEN(SUBSTITUTE('Special Help Table'!$A516,"and ",""))=0,LEN('Special Help Table'!$A516)-LEN(SUBSTITUTE('Special Help Table'!$A516,";",""))=0),'Special Help Table'!$A516,AND(LEN('Special Help Table'!$A516)-LEN(SUBSTITUTE('Special Help Table'!$A516,",","")=1),LEN('Special Help Table'!$A516)-LEN(SUBSTITUTE('Special Help Table'!$A516," ","")=20),LEN('Special Help Table'!$A516)-LEN(SUBSTITUTE('Special Help Table'!$A516," and",""))=0,LEN('Special Help Table'!$A516)-LEN(SUBSTITUTE('Special Help Table'!$A516,",","",FIND(" ",'Special Help Table'!$A516)+1))=0),RIGHT('Special Help Table'!$A516,LEN('Special Help Table'!$A516)-FIND(", ",'Special Help Table'!$A516))&amp;" "&amp;LEFT('Special Help Table'!$A516,FIND(",",'Special Help Table'!$A516)-1),AND(LEN('Special Help Table'!$A516)-LEN(SUBSTITUTE('Special Help Table'!$A516,"editor",""))=6,LEN('Special Help Table'!$A516)-LEN(SUBSTITUTE('Special Help Table'!$A516,"(",""))=0,LEN('Special Help Table'!$A516)-LEN(SUBSTITUTE('Special Help Table'!$A516,"and",""))=3,LEN('Special Help Table'!$A516)-LEN(SUBSTITUTE('Special Help Table'!$A516,",",""))=1,LEN('Special Help Table'!$A516)-LEN(SUBSTITUTE('Special Help Table'!$A516," ",""))=3),'Special Help Table'!$A516)</f>
        <v xml:space="preserve"> Jim Newheiser</v>
      </c>
      <c r="C516" s="4" t="s">
        <v>981</v>
      </c>
      <c r="D516" s="2"/>
      <c r="E516" s="2" t="s">
        <v>16</v>
      </c>
      <c r="F516" s="2" t="s">
        <v>17</v>
      </c>
      <c r="G516" s="2"/>
      <c r="H516" s="2"/>
      <c r="I516" s="2"/>
      <c r="J516" s="2" t="s">
        <v>24</v>
      </c>
      <c r="K516" s="3">
        <v>43211</v>
      </c>
      <c r="L516" s="2"/>
      <c r="M516" s="2"/>
      <c r="N516" s="2" t="s">
        <v>18</v>
      </c>
    </row>
    <row r="517" spans="1:14" ht="15.75" customHeight="1" x14ac:dyDescent="0.35">
      <c r="A517" s="2" t="s">
        <v>980</v>
      </c>
      <c r="B517" s="2" t="str" cm="1">
        <f t="array" ref="B517">_xlfn.IFS(AND(LEN('Special Help Table'!$A517)-(LEN(SUBSTITUTE('Special Help Table'!$A517,";","")))=0,LEN('Special Help Table'!$A517)-LEN(SUBSTITUTE('Special Help Table'!$A517,",",""))=1,LEN('Special Help Table'!$A517)-LEN(SUBSTITUTE('Special Help Table'!$A517,"and ",""))=0),MID('Special Help Table'!$A517&amp;" "&amp;'Special Help Table'!$A517,SEARCH(", ",'Special Help Table'!$A517)+1,LEN('Special Help Table'!$A517)),AND(LEN('Special Help Table'!$A517)-(LEN(SUBSTITUTE('Special Help Table'!$A517,";","")))=1,LEN('Special Help Table'!$A517)-LEN(SUBSTITUTE('Special Help Table'!$A517,"and ",""))=0),MID('Special Help Table'!$A517,SEARCH(",",'Special Help Table'!$A517)+1,(SEARCH(";",'Special Help Table'!$A517)-1)-SEARCH(",",'Special Help Table'!$A517))&amp;" "&amp;LEFT('Special Help Table'!$A517,SEARCH(",",'Special Help Table'!$A517)-1)&amp;";"&amp;RIGHT('Special Help Table'!$A517,LEN('Special Help Table'!$A517)-SEARCH(",",'Special Help Table'!$A517,SEARCH(";",'Special Help Table'!$A517)))&amp;" "&amp;MID('Special Help Table'!$A517,SEARCH("; ",'Special Help Table'!$A517)+2,SEARCH(",",'Special Help Table'!$A517,SEARCH(";",'Special Help Table'!$A517))-SEARCH(";",'Special Help Table'!$A517)-2),AND(LEN('Special Help Table'!$A517)-LEN(SUBSTITUTE('Special Help Table'!$A517,"and ",""))=0,LEN('Special Help Table'!$A517)-LEN(SUBSTITUTE('Special Help Table'!$A517,";",""))=0),'Special Help Table'!$A517,AND(LEN('Special Help Table'!$A517)-LEN(SUBSTITUTE('Special Help Table'!$A517,",","")=1),LEN('Special Help Table'!$A517)-LEN(SUBSTITUTE('Special Help Table'!$A517," ","")=20),LEN('Special Help Table'!$A517)-LEN(SUBSTITUTE('Special Help Table'!$A517," and",""))=0,LEN('Special Help Table'!$A517)-LEN(SUBSTITUTE('Special Help Table'!$A517,",","",FIND(" ",'Special Help Table'!$A517)+1))=0),RIGHT('Special Help Table'!$A517,LEN('Special Help Table'!$A517)-FIND(", ",'Special Help Table'!$A517))&amp;" "&amp;LEFT('Special Help Table'!$A517,FIND(",",'Special Help Table'!$A517)-1),AND(LEN('Special Help Table'!$A517)-LEN(SUBSTITUTE('Special Help Table'!$A517,"editor",""))=6,LEN('Special Help Table'!$A517)-LEN(SUBSTITUTE('Special Help Table'!$A517,"(",""))=0,LEN('Special Help Table'!$A517)-LEN(SUBSTITUTE('Special Help Table'!$A517,"and",""))=3,LEN('Special Help Table'!$A517)-LEN(SUBSTITUTE('Special Help Table'!$A517,",",""))=1,LEN('Special Help Table'!$A517)-LEN(SUBSTITUTE('Special Help Table'!$A517," ",""))=3),'Special Help Table'!$A517)</f>
        <v xml:space="preserve"> Jim Newheiser</v>
      </c>
      <c r="C517" s="4" t="s">
        <v>982</v>
      </c>
      <c r="D517" s="2" t="s">
        <v>983</v>
      </c>
      <c r="E517" s="2" t="s">
        <v>16</v>
      </c>
      <c r="F517" s="2" t="s">
        <v>17</v>
      </c>
      <c r="G517" s="2"/>
      <c r="H517" s="2"/>
      <c r="I517" s="2" t="s">
        <v>100</v>
      </c>
      <c r="J517" s="2" t="s">
        <v>100</v>
      </c>
      <c r="K517" s="3">
        <v>41804</v>
      </c>
      <c r="L517" s="2"/>
      <c r="M517" s="2"/>
      <c r="N517" s="2" t="s">
        <v>18</v>
      </c>
    </row>
    <row r="518" spans="1:14" ht="15.75" customHeight="1" x14ac:dyDescent="0.35">
      <c r="A518" s="2" t="s">
        <v>984</v>
      </c>
      <c r="B518" s="2" t="str" cm="1">
        <f t="array" ref="B518">_xlfn.IFS(AND(LEN('Special Help Table'!$A518)-(LEN(SUBSTITUTE('Special Help Table'!$A518,";","")))=0,LEN('Special Help Table'!$A518)-LEN(SUBSTITUTE('Special Help Table'!$A518,",",""))=1,LEN('Special Help Table'!$A518)-LEN(SUBSTITUTE('Special Help Table'!$A518,"and ",""))=0),MID('Special Help Table'!$A518&amp;" "&amp;'Special Help Table'!$A518,SEARCH(", ",'Special Help Table'!$A518)+1,LEN('Special Help Table'!$A518)),AND(LEN('Special Help Table'!$A518)-(LEN(SUBSTITUTE('Special Help Table'!$A518,";","")))=1,LEN('Special Help Table'!$A518)-LEN(SUBSTITUTE('Special Help Table'!$A518,"and ",""))=0),MID('Special Help Table'!$A518,SEARCH(",",'Special Help Table'!$A518)+1,(SEARCH(";",'Special Help Table'!$A518)-1)-SEARCH(",",'Special Help Table'!$A518))&amp;" "&amp;LEFT('Special Help Table'!$A518,SEARCH(",",'Special Help Table'!$A518)-1)&amp;";"&amp;RIGHT('Special Help Table'!$A518,LEN('Special Help Table'!$A518)-SEARCH(",",'Special Help Table'!$A518,SEARCH(";",'Special Help Table'!$A518)))&amp;" "&amp;MID('Special Help Table'!$A518,SEARCH("; ",'Special Help Table'!$A518)+2,SEARCH(",",'Special Help Table'!$A518,SEARCH(";",'Special Help Table'!$A518))-SEARCH(";",'Special Help Table'!$A518)-2),AND(LEN('Special Help Table'!$A518)-LEN(SUBSTITUTE('Special Help Table'!$A518,"and ",""))=0,LEN('Special Help Table'!$A518)-LEN(SUBSTITUTE('Special Help Table'!$A518,";",""))=0),'Special Help Table'!$A518,AND(LEN('Special Help Table'!$A518)-LEN(SUBSTITUTE('Special Help Table'!$A518,",","")=1),LEN('Special Help Table'!$A518)-LEN(SUBSTITUTE('Special Help Table'!$A518," ","")=20),LEN('Special Help Table'!$A518)-LEN(SUBSTITUTE('Special Help Table'!$A518," and",""))=0,LEN('Special Help Table'!$A518)-LEN(SUBSTITUTE('Special Help Table'!$A518,",","",FIND(" ",'Special Help Table'!$A518)+1))=0),RIGHT('Special Help Table'!$A518,LEN('Special Help Table'!$A518)-FIND(", ",'Special Help Table'!$A518))&amp;" "&amp;LEFT('Special Help Table'!$A518,FIND(",",'Special Help Table'!$A518)-1),AND(LEN('Special Help Table'!$A518)-LEN(SUBSTITUTE('Special Help Table'!$A518,"editor",""))=6,LEN('Special Help Table'!$A518)-LEN(SUBSTITUTE('Special Help Table'!$A518,"(",""))=0,LEN('Special Help Table'!$A518)-LEN(SUBSTITUTE('Special Help Table'!$A518,"and",""))=3,LEN('Special Help Table'!$A518)-LEN(SUBSTITUTE('Special Help Table'!$A518,",",""))=1,LEN('Special Help Table'!$A518)-LEN(SUBSTITUTE('Special Help Table'!$A518," ",""))=3),'Special Help Table'!$A518)</f>
        <v xml:space="preserve"> Randy Newman</v>
      </c>
      <c r="C518" s="4" t="s">
        <v>985</v>
      </c>
      <c r="D518" s="2"/>
      <c r="E518" s="2" t="s">
        <v>16</v>
      </c>
      <c r="F518" s="2" t="s">
        <v>126</v>
      </c>
      <c r="G518" s="2"/>
      <c r="H518" s="2"/>
      <c r="I518" s="2"/>
      <c r="J518" s="2" t="s">
        <v>359</v>
      </c>
      <c r="K518" s="3">
        <v>44772</v>
      </c>
      <c r="L518" s="2"/>
      <c r="M518" s="2"/>
      <c r="N518" s="2" t="s">
        <v>18</v>
      </c>
    </row>
    <row r="519" spans="1:14" ht="15.75" customHeight="1" x14ac:dyDescent="0.35">
      <c r="A519" s="2" t="s">
        <v>986</v>
      </c>
      <c r="B519" s="2" t="str" cm="1">
        <f t="array" ref="B519">_xlfn.IFS(AND(LEN('Special Help Table'!$A519)-(LEN(SUBSTITUTE('Special Help Table'!$A519,";","")))=0,LEN('Special Help Table'!$A519)-LEN(SUBSTITUTE('Special Help Table'!$A519,",",""))=1,LEN('Special Help Table'!$A519)-LEN(SUBSTITUTE('Special Help Table'!$A519,"and ",""))=0),MID('Special Help Table'!$A519&amp;" "&amp;'Special Help Table'!$A519,SEARCH(", ",'Special Help Table'!$A519)+1,LEN('Special Help Table'!$A519)),AND(LEN('Special Help Table'!$A519)-(LEN(SUBSTITUTE('Special Help Table'!$A519,";","")))=1,LEN('Special Help Table'!$A519)-LEN(SUBSTITUTE('Special Help Table'!$A519,"and ",""))=0),MID('Special Help Table'!$A519,SEARCH(",",'Special Help Table'!$A519)+1,(SEARCH(";",'Special Help Table'!$A519)-1)-SEARCH(",",'Special Help Table'!$A519))&amp;" "&amp;LEFT('Special Help Table'!$A519,SEARCH(",",'Special Help Table'!$A519)-1)&amp;";"&amp;RIGHT('Special Help Table'!$A519,LEN('Special Help Table'!$A519)-SEARCH(",",'Special Help Table'!$A519,SEARCH(";",'Special Help Table'!$A519)))&amp;" "&amp;MID('Special Help Table'!$A519,SEARCH("; ",'Special Help Table'!$A519)+2,SEARCH(",",'Special Help Table'!$A519,SEARCH(";",'Special Help Table'!$A519))-SEARCH(";",'Special Help Table'!$A519)-2),AND(LEN('Special Help Table'!$A519)-LEN(SUBSTITUTE('Special Help Table'!$A519,"and ",""))=0,LEN('Special Help Table'!$A519)-LEN(SUBSTITUTE('Special Help Table'!$A519,";",""))=0),'Special Help Table'!$A519,AND(LEN('Special Help Table'!$A519)-LEN(SUBSTITUTE('Special Help Table'!$A519,",","")=1),LEN('Special Help Table'!$A519)-LEN(SUBSTITUTE('Special Help Table'!$A519," ","")=20),LEN('Special Help Table'!$A519)-LEN(SUBSTITUTE('Special Help Table'!$A519," and",""))=0,LEN('Special Help Table'!$A519)-LEN(SUBSTITUTE('Special Help Table'!$A519,",","",FIND(" ",'Special Help Table'!$A519)+1))=0),RIGHT('Special Help Table'!$A519,LEN('Special Help Table'!$A519)-FIND(", ",'Special Help Table'!$A519))&amp;" "&amp;LEFT('Special Help Table'!$A519,FIND(",",'Special Help Table'!$A519)-1),AND(LEN('Special Help Table'!$A519)-LEN(SUBSTITUTE('Special Help Table'!$A519,"editor",""))=6,LEN('Special Help Table'!$A519)-LEN(SUBSTITUTE('Special Help Table'!$A519,"(",""))=0,LEN('Special Help Table'!$A519)-LEN(SUBSTITUTE('Special Help Table'!$A519,"and",""))=3,LEN('Special Help Table'!$A519)-LEN(SUBSTITUTE('Special Help Table'!$A519,",",""))=1,LEN('Special Help Table'!$A519)-LEN(SUBSTITUTE('Special Help Table'!$A519," ",""))=3),'Special Help Table'!$A519)</f>
        <v xml:space="preserve"> Andrew Nicholls; Helen Thorne</v>
      </c>
      <c r="C519" s="4" t="s">
        <v>987</v>
      </c>
      <c r="D519" s="2" t="s">
        <v>988</v>
      </c>
      <c r="E519" s="2" t="s">
        <v>16</v>
      </c>
      <c r="F519" s="2" t="s">
        <v>36</v>
      </c>
      <c r="G519" s="2"/>
      <c r="H519" s="2"/>
      <c r="I519" s="2"/>
      <c r="J519" s="2"/>
      <c r="K519" s="3">
        <v>44044</v>
      </c>
      <c r="L519" s="2"/>
      <c r="M519" s="2"/>
      <c r="N519" s="2" t="s">
        <v>18</v>
      </c>
    </row>
    <row r="520" spans="1:14" ht="15.75" customHeight="1" x14ac:dyDescent="0.35">
      <c r="A520" s="2" t="s">
        <v>989</v>
      </c>
      <c r="B520" s="2" t="str" cm="1">
        <f t="array" ref="B520">_xlfn.IFS(AND(LEN('Special Help Table'!$A520)-(LEN(SUBSTITUTE('Special Help Table'!$A520,";","")))=0,LEN('Special Help Table'!$A520)-LEN(SUBSTITUTE('Special Help Table'!$A520,",",""))=1,LEN('Special Help Table'!$A520)-LEN(SUBSTITUTE('Special Help Table'!$A520,"and ",""))=0),MID('Special Help Table'!$A520&amp;" "&amp;'Special Help Table'!$A520,SEARCH(", ",'Special Help Table'!$A520)+1,LEN('Special Help Table'!$A520)),AND(LEN('Special Help Table'!$A520)-(LEN(SUBSTITUTE('Special Help Table'!$A520,";","")))=1,LEN('Special Help Table'!$A520)-LEN(SUBSTITUTE('Special Help Table'!$A520,"and ",""))=0),MID('Special Help Table'!$A520,SEARCH(",",'Special Help Table'!$A520)+1,(SEARCH(";",'Special Help Table'!$A520)-1)-SEARCH(",",'Special Help Table'!$A520))&amp;" "&amp;LEFT('Special Help Table'!$A520,SEARCH(",",'Special Help Table'!$A520)-1)&amp;";"&amp;RIGHT('Special Help Table'!$A520,LEN('Special Help Table'!$A520)-SEARCH(",",'Special Help Table'!$A520,SEARCH(";",'Special Help Table'!$A520)))&amp;" "&amp;MID('Special Help Table'!$A520,SEARCH("; ",'Special Help Table'!$A520)+2,SEARCH(",",'Special Help Table'!$A520,SEARCH(";",'Special Help Table'!$A520))-SEARCH(";",'Special Help Table'!$A520)-2),AND(LEN('Special Help Table'!$A520)-LEN(SUBSTITUTE('Special Help Table'!$A520,"and ",""))=0,LEN('Special Help Table'!$A520)-LEN(SUBSTITUTE('Special Help Table'!$A520,";",""))=0),'Special Help Table'!$A520,AND(LEN('Special Help Table'!$A520)-LEN(SUBSTITUTE('Special Help Table'!$A520,",","")=1),LEN('Special Help Table'!$A520)-LEN(SUBSTITUTE('Special Help Table'!$A520," ","")=20),LEN('Special Help Table'!$A520)-LEN(SUBSTITUTE('Special Help Table'!$A520," and",""))=0,LEN('Special Help Table'!$A520)-LEN(SUBSTITUTE('Special Help Table'!$A520,",","",FIND(" ",'Special Help Table'!$A520)+1))=0),RIGHT('Special Help Table'!$A520,LEN('Special Help Table'!$A520)-FIND(", ",'Special Help Table'!$A520))&amp;" "&amp;LEFT('Special Help Table'!$A520,FIND(",",'Special Help Table'!$A520)-1),AND(LEN('Special Help Table'!$A520)-LEN(SUBSTITUTE('Special Help Table'!$A520,"editor",""))=6,LEN('Special Help Table'!$A520)-LEN(SUBSTITUTE('Special Help Table'!$A520,"(",""))=0,LEN('Special Help Table'!$A520)-LEN(SUBSTITUTE('Special Help Table'!$A520,"and",""))=3,LEN('Special Help Table'!$A520)-LEN(SUBSTITUTE('Special Help Table'!$A520,",",""))=1,LEN('Special Help Table'!$A520)-LEN(SUBSTITUTE('Special Help Table'!$A520," ",""))=3),'Special Help Table'!$A520)</f>
        <v xml:space="preserve"> Stephen j Nichols</v>
      </c>
      <c r="C520" s="4" t="s">
        <v>990</v>
      </c>
      <c r="D520" s="2"/>
      <c r="E520" s="2" t="s">
        <v>16</v>
      </c>
      <c r="F520" s="2" t="s">
        <v>20</v>
      </c>
      <c r="G520" s="2"/>
      <c r="H520" s="2"/>
      <c r="I520" s="2"/>
      <c r="J520" s="2" t="s">
        <v>991</v>
      </c>
      <c r="K520" s="3">
        <v>42856</v>
      </c>
      <c r="L520" s="2"/>
      <c r="M520" s="2"/>
      <c r="N520" s="2" t="s">
        <v>18</v>
      </c>
    </row>
    <row r="521" spans="1:14" ht="15.75" customHeight="1" x14ac:dyDescent="0.35">
      <c r="A521" s="2" t="s">
        <v>989</v>
      </c>
      <c r="B521" s="2" t="str" cm="1">
        <f t="array" ref="B521">_xlfn.IFS(AND(LEN('Special Help Table'!$A521)-(LEN(SUBSTITUTE('Special Help Table'!$A521,";","")))=0,LEN('Special Help Table'!$A521)-LEN(SUBSTITUTE('Special Help Table'!$A521,",",""))=1,LEN('Special Help Table'!$A521)-LEN(SUBSTITUTE('Special Help Table'!$A521,"and ",""))=0),MID('Special Help Table'!$A521&amp;" "&amp;'Special Help Table'!$A521,SEARCH(", ",'Special Help Table'!$A521)+1,LEN('Special Help Table'!$A521)),AND(LEN('Special Help Table'!$A521)-(LEN(SUBSTITUTE('Special Help Table'!$A521,";","")))=1,LEN('Special Help Table'!$A521)-LEN(SUBSTITUTE('Special Help Table'!$A521,"and ",""))=0),MID('Special Help Table'!$A521,SEARCH(",",'Special Help Table'!$A521)+1,(SEARCH(";",'Special Help Table'!$A521)-1)-SEARCH(",",'Special Help Table'!$A521))&amp;" "&amp;LEFT('Special Help Table'!$A521,SEARCH(",",'Special Help Table'!$A521)-1)&amp;";"&amp;RIGHT('Special Help Table'!$A521,LEN('Special Help Table'!$A521)-SEARCH(",",'Special Help Table'!$A521,SEARCH(";",'Special Help Table'!$A521)))&amp;" "&amp;MID('Special Help Table'!$A521,SEARCH("; ",'Special Help Table'!$A521)+2,SEARCH(",",'Special Help Table'!$A521,SEARCH(";",'Special Help Table'!$A521))-SEARCH(";",'Special Help Table'!$A521)-2),AND(LEN('Special Help Table'!$A521)-LEN(SUBSTITUTE('Special Help Table'!$A521,"and ",""))=0,LEN('Special Help Table'!$A521)-LEN(SUBSTITUTE('Special Help Table'!$A521,";",""))=0),'Special Help Table'!$A521,AND(LEN('Special Help Table'!$A521)-LEN(SUBSTITUTE('Special Help Table'!$A521,",","")=1),LEN('Special Help Table'!$A521)-LEN(SUBSTITUTE('Special Help Table'!$A521," ","")=20),LEN('Special Help Table'!$A521)-LEN(SUBSTITUTE('Special Help Table'!$A521," and",""))=0,LEN('Special Help Table'!$A521)-LEN(SUBSTITUTE('Special Help Table'!$A521,",","",FIND(" ",'Special Help Table'!$A521)+1))=0),RIGHT('Special Help Table'!$A521,LEN('Special Help Table'!$A521)-FIND(", ",'Special Help Table'!$A521))&amp;" "&amp;LEFT('Special Help Table'!$A521,FIND(",",'Special Help Table'!$A521)-1),AND(LEN('Special Help Table'!$A521)-LEN(SUBSTITUTE('Special Help Table'!$A521,"editor",""))=6,LEN('Special Help Table'!$A521)-LEN(SUBSTITUTE('Special Help Table'!$A521,"(",""))=0,LEN('Special Help Table'!$A521)-LEN(SUBSTITUTE('Special Help Table'!$A521,"and",""))=3,LEN('Special Help Table'!$A521)-LEN(SUBSTITUTE('Special Help Table'!$A521,",",""))=1,LEN('Special Help Table'!$A521)-LEN(SUBSTITUTE('Special Help Table'!$A521," ",""))=3),'Special Help Table'!$A521)</f>
        <v xml:space="preserve"> Stephen j Nichols</v>
      </c>
      <c r="C521" s="4" t="s">
        <v>992</v>
      </c>
      <c r="D521" s="2" t="s">
        <v>993</v>
      </c>
      <c r="E521" s="2" t="s">
        <v>16</v>
      </c>
      <c r="F521" s="2" t="s">
        <v>76</v>
      </c>
      <c r="G521" s="2"/>
      <c r="H521" s="2"/>
      <c r="I521" s="2"/>
      <c r="J521" s="2"/>
      <c r="K521" s="3">
        <v>40766</v>
      </c>
      <c r="L521" s="2"/>
      <c r="M521" s="2"/>
      <c r="N521" s="2" t="s">
        <v>18</v>
      </c>
    </row>
    <row r="522" spans="1:14" ht="15.75" customHeight="1" x14ac:dyDescent="0.35">
      <c r="A522" s="2" t="s">
        <v>994</v>
      </c>
      <c r="B522" s="2" t="str" cm="1">
        <f t="array" ref="B522">_xlfn.IFS(AND(LEN('Special Help Table'!$A522)-(LEN(SUBSTITUTE('Special Help Table'!$A522,";","")))=0,LEN('Special Help Table'!$A522)-LEN(SUBSTITUTE('Special Help Table'!$A522,",",""))=1,LEN('Special Help Table'!$A522)-LEN(SUBSTITUTE('Special Help Table'!$A522,"and ",""))=0),MID('Special Help Table'!$A522&amp;" "&amp;'Special Help Table'!$A522,SEARCH(", ",'Special Help Table'!$A522)+1,LEN('Special Help Table'!$A522)),AND(LEN('Special Help Table'!$A522)-(LEN(SUBSTITUTE('Special Help Table'!$A522,";","")))=1,LEN('Special Help Table'!$A522)-LEN(SUBSTITUTE('Special Help Table'!$A522,"and ",""))=0),MID('Special Help Table'!$A522,SEARCH(",",'Special Help Table'!$A522)+1,(SEARCH(";",'Special Help Table'!$A522)-1)-SEARCH(",",'Special Help Table'!$A522))&amp;" "&amp;LEFT('Special Help Table'!$A522,SEARCH(",",'Special Help Table'!$A522)-1)&amp;";"&amp;RIGHT('Special Help Table'!$A522,LEN('Special Help Table'!$A522)-SEARCH(",",'Special Help Table'!$A522,SEARCH(";",'Special Help Table'!$A522)))&amp;" "&amp;MID('Special Help Table'!$A522,SEARCH("; ",'Special Help Table'!$A522)+2,SEARCH(",",'Special Help Table'!$A522,SEARCH(";",'Special Help Table'!$A522))-SEARCH(";",'Special Help Table'!$A522)-2),AND(LEN('Special Help Table'!$A522)-LEN(SUBSTITUTE('Special Help Table'!$A522,"and ",""))=0,LEN('Special Help Table'!$A522)-LEN(SUBSTITUTE('Special Help Table'!$A522,";",""))=0),'Special Help Table'!$A522,AND(LEN('Special Help Table'!$A522)-LEN(SUBSTITUTE('Special Help Table'!$A522,",","")=1),LEN('Special Help Table'!$A522)-LEN(SUBSTITUTE('Special Help Table'!$A522," ","")=20),LEN('Special Help Table'!$A522)-LEN(SUBSTITUTE('Special Help Table'!$A522," and",""))=0,LEN('Special Help Table'!$A522)-LEN(SUBSTITUTE('Special Help Table'!$A522,",","",FIND(" ",'Special Help Table'!$A522)+1))=0),RIGHT('Special Help Table'!$A522,LEN('Special Help Table'!$A522)-FIND(", ",'Special Help Table'!$A522))&amp;" "&amp;LEFT('Special Help Table'!$A522,FIND(",",'Special Help Table'!$A522)-1),AND(LEN('Special Help Table'!$A522)-LEN(SUBSTITUTE('Special Help Table'!$A522,"editor",""))=6,LEN('Special Help Table'!$A522)-LEN(SUBSTITUTE('Special Help Table'!$A522,"(",""))=0,LEN('Special Help Table'!$A522)-LEN(SUBSTITUTE('Special Help Table'!$A522,"and",""))=3,LEN('Special Help Table'!$A522)-LEN(SUBSTITUTE('Special Help Table'!$A522,",",""))=1,LEN('Special Help Table'!$A522)-LEN(SUBSTITUTE('Special Help Table'!$A522," ",""))=3),'Special Help Table'!$A522)</f>
        <v xml:space="preserve"> Jon Nielson</v>
      </c>
      <c r="C522" s="4" t="s">
        <v>995</v>
      </c>
      <c r="D522" s="2"/>
      <c r="E522" s="2" t="s">
        <v>16</v>
      </c>
      <c r="F522" s="2" t="s">
        <v>76</v>
      </c>
      <c r="G522" s="2"/>
      <c r="H522" s="2"/>
      <c r="I522" s="2"/>
      <c r="J522" s="2" t="s">
        <v>152</v>
      </c>
      <c r="K522" s="3">
        <v>41499</v>
      </c>
      <c r="L522" s="2"/>
      <c r="M522" s="2"/>
      <c r="N522" s="2" t="s">
        <v>18</v>
      </c>
    </row>
    <row r="523" spans="1:14" ht="15.75" customHeight="1" x14ac:dyDescent="0.35">
      <c r="A523" s="2" t="s">
        <v>994</v>
      </c>
      <c r="B523" s="2" t="str" cm="1">
        <f t="array" ref="B523">_xlfn.IFS(AND(LEN('Special Help Table'!$A523)-(LEN(SUBSTITUTE('Special Help Table'!$A523,";","")))=0,LEN('Special Help Table'!$A523)-LEN(SUBSTITUTE('Special Help Table'!$A523,",",""))=1,LEN('Special Help Table'!$A523)-LEN(SUBSTITUTE('Special Help Table'!$A523,"and ",""))=0),MID('Special Help Table'!$A523&amp;" "&amp;'Special Help Table'!$A523,SEARCH(", ",'Special Help Table'!$A523)+1,LEN('Special Help Table'!$A523)),AND(LEN('Special Help Table'!$A523)-(LEN(SUBSTITUTE('Special Help Table'!$A523,";","")))=1,LEN('Special Help Table'!$A523)-LEN(SUBSTITUTE('Special Help Table'!$A523,"and ",""))=0),MID('Special Help Table'!$A523,SEARCH(",",'Special Help Table'!$A523)+1,(SEARCH(";",'Special Help Table'!$A523)-1)-SEARCH(",",'Special Help Table'!$A523))&amp;" "&amp;LEFT('Special Help Table'!$A523,SEARCH(",",'Special Help Table'!$A523)-1)&amp;";"&amp;RIGHT('Special Help Table'!$A523,LEN('Special Help Table'!$A523)-SEARCH(",",'Special Help Table'!$A523,SEARCH(";",'Special Help Table'!$A523)))&amp;" "&amp;MID('Special Help Table'!$A523,SEARCH("; ",'Special Help Table'!$A523)+2,SEARCH(",",'Special Help Table'!$A523,SEARCH(";",'Special Help Table'!$A523))-SEARCH(";",'Special Help Table'!$A523)-2),AND(LEN('Special Help Table'!$A523)-LEN(SUBSTITUTE('Special Help Table'!$A523,"and ",""))=0,LEN('Special Help Table'!$A523)-LEN(SUBSTITUTE('Special Help Table'!$A523,";",""))=0),'Special Help Table'!$A523,AND(LEN('Special Help Table'!$A523)-LEN(SUBSTITUTE('Special Help Table'!$A523,",","")=1),LEN('Special Help Table'!$A523)-LEN(SUBSTITUTE('Special Help Table'!$A523," ","")=20),LEN('Special Help Table'!$A523)-LEN(SUBSTITUTE('Special Help Table'!$A523," and",""))=0,LEN('Special Help Table'!$A523)-LEN(SUBSTITUTE('Special Help Table'!$A523,",","",FIND(" ",'Special Help Table'!$A523)+1))=0),RIGHT('Special Help Table'!$A523,LEN('Special Help Table'!$A523)-FIND(", ",'Special Help Table'!$A523))&amp;" "&amp;LEFT('Special Help Table'!$A523,FIND(",",'Special Help Table'!$A523)-1),AND(LEN('Special Help Table'!$A523)-LEN(SUBSTITUTE('Special Help Table'!$A523,"editor",""))=6,LEN('Special Help Table'!$A523)-LEN(SUBSTITUTE('Special Help Table'!$A523,"(",""))=0,LEN('Special Help Table'!$A523)-LEN(SUBSTITUTE('Special Help Table'!$A523,"and",""))=3,LEN('Special Help Table'!$A523)-LEN(SUBSTITUTE('Special Help Table'!$A523,",",""))=1,LEN('Special Help Table'!$A523)-LEN(SUBSTITUTE('Special Help Table'!$A523," ",""))=3),'Special Help Table'!$A523)</f>
        <v xml:space="preserve"> Jon Nielson</v>
      </c>
      <c r="C523" s="4" t="s">
        <v>996</v>
      </c>
      <c r="D523" s="2"/>
      <c r="E523" s="2" t="s">
        <v>16</v>
      </c>
      <c r="F523" s="2" t="s">
        <v>17</v>
      </c>
      <c r="G523" s="2"/>
      <c r="H523" s="2"/>
      <c r="I523" s="2" t="s">
        <v>100</v>
      </c>
      <c r="J523" s="2" t="s">
        <v>100</v>
      </c>
      <c r="K523" s="3">
        <v>42659</v>
      </c>
      <c r="L523" s="2"/>
      <c r="M523" s="2"/>
      <c r="N523" s="2" t="s">
        <v>18</v>
      </c>
    </row>
    <row r="524" spans="1:14" ht="15.75" customHeight="1" x14ac:dyDescent="0.35">
      <c r="A524" s="2" t="s">
        <v>997</v>
      </c>
      <c r="B524" s="2" t="str" cm="1">
        <f t="array" ref="B524">_xlfn.IFS(AND(LEN('Special Help Table'!$A524)-(LEN(SUBSTITUTE('Special Help Table'!$A524,";","")))=0,LEN('Special Help Table'!$A524)-LEN(SUBSTITUTE('Special Help Table'!$A524,",",""))=1,LEN('Special Help Table'!$A524)-LEN(SUBSTITUTE('Special Help Table'!$A524,"and ",""))=0),MID('Special Help Table'!$A524&amp;" "&amp;'Special Help Table'!$A524,SEARCH(", ",'Special Help Table'!$A524)+1,LEN('Special Help Table'!$A524)),AND(LEN('Special Help Table'!$A524)-(LEN(SUBSTITUTE('Special Help Table'!$A524,";","")))=1,LEN('Special Help Table'!$A524)-LEN(SUBSTITUTE('Special Help Table'!$A524,"and ",""))=0),MID('Special Help Table'!$A524,SEARCH(",",'Special Help Table'!$A524)+1,(SEARCH(";",'Special Help Table'!$A524)-1)-SEARCH(",",'Special Help Table'!$A524))&amp;" "&amp;LEFT('Special Help Table'!$A524,SEARCH(",",'Special Help Table'!$A524)-1)&amp;";"&amp;RIGHT('Special Help Table'!$A524,LEN('Special Help Table'!$A524)-SEARCH(",",'Special Help Table'!$A524,SEARCH(";",'Special Help Table'!$A524)))&amp;" "&amp;MID('Special Help Table'!$A524,SEARCH("; ",'Special Help Table'!$A524)+2,SEARCH(",",'Special Help Table'!$A524,SEARCH(";",'Special Help Table'!$A524))-SEARCH(";",'Special Help Table'!$A524)-2),AND(LEN('Special Help Table'!$A524)-LEN(SUBSTITUTE('Special Help Table'!$A524,"and ",""))=0,LEN('Special Help Table'!$A524)-LEN(SUBSTITUTE('Special Help Table'!$A524,";",""))=0),'Special Help Table'!$A524,AND(LEN('Special Help Table'!$A524)-LEN(SUBSTITUTE('Special Help Table'!$A524,",","")=1),LEN('Special Help Table'!$A524)-LEN(SUBSTITUTE('Special Help Table'!$A524," ","")=20),LEN('Special Help Table'!$A524)-LEN(SUBSTITUTE('Special Help Table'!$A524," and",""))=0,LEN('Special Help Table'!$A524)-LEN(SUBSTITUTE('Special Help Table'!$A524,",","",FIND(" ",'Special Help Table'!$A524)+1))=0),RIGHT('Special Help Table'!$A524,LEN('Special Help Table'!$A524)-FIND(", ",'Special Help Table'!$A524))&amp;" "&amp;LEFT('Special Help Table'!$A524,FIND(",",'Special Help Table'!$A524)-1),AND(LEN('Special Help Table'!$A524)-LEN(SUBSTITUTE('Special Help Table'!$A524,"editor",""))=6,LEN('Special Help Table'!$A524)-LEN(SUBSTITUTE('Special Help Table'!$A524,"(",""))=0,LEN('Special Help Table'!$A524)-LEN(SUBSTITUTE('Special Help Table'!$A524,"and",""))=3,LEN('Special Help Table'!$A524)-LEN(SUBSTITUTE('Special Help Table'!$A524,",",""))=1,LEN('Special Help Table'!$A524)-LEN(SUBSTITUTE('Special Help Table'!$A524," ",""))=3),'Special Help Table'!$A524)</f>
        <v xml:space="preserve"> Kathleen Nielson</v>
      </c>
      <c r="C524" s="4" t="s">
        <v>998</v>
      </c>
      <c r="D524" s="2"/>
      <c r="E524" s="2" t="s">
        <v>16</v>
      </c>
      <c r="F524" s="2" t="s">
        <v>28</v>
      </c>
      <c r="G524" s="2"/>
      <c r="H524" s="2"/>
      <c r="I524" s="2"/>
      <c r="J524" s="2" t="s">
        <v>230</v>
      </c>
      <c r="K524" s="3"/>
      <c r="L524" s="2"/>
      <c r="M524" s="2"/>
      <c r="N524" s="2" t="s">
        <v>18</v>
      </c>
    </row>
    <row r="525" spans="1:14" ht="15.75" customHeight="1" x14ac:dyDescent="0.35">
      <c r="A525" s="2" t="s">
        <v>999</v>
      </c>
      <c r="B525" s="2" t="str" cm="1">
        <f t="array" ref="B525">_xlfn.IFS(AND(LEN('Special Help Table'!$A525)-(LEN(SUBSTITUTE('Special Help Table'!$A525,";","")))=0,LEN('Special Help Table'!$A525)-LEN(SUBSTITUTE('Special Help Table'!$A525,",",""))=1,LEN('Special Help Table'!$A525)-LEN(SUBSTITUTE('Special Help Table'!$A525,"and ",""))=0),MID('Special Help Table'!$A525&amp;" "&amp;'Special Help Table'!$A525,SEARCH(", ",'Special Help Table'!$A525)+1,LEN('Special Help Table'!$A525)),AND(LEN('Special Help Table'!$A525)-(LEN(SUBSTITUTE('Special Help Table'!$A525,";","")))=1,LEN('Special Help Table'!$A525)-LEN(SUBSTITUTE('Special Help Table'!$A525,"and ",""))=0),MID('Special Help Table'!$A525,SEARCH(",",'Special Help Table'!$A525)+1,(SEARCH(";",'Special Help Table'!$A525)-1)-SEARCH(",",'Special Help Table'!$A525))&amp;" "&amp;LEFT('Special Help Table'!$A525,SEARCH(",",'Special Help Table'!$A525)-1)&amp;";"&amp;RIGHT('Special Help Table'!$A525,LEN('Special Help Table'!$A525)-SEARCH(",",'Special Help Table'!$A525,SEARCH(";",'Special Help Table'!$A525)))&amp;" "&amp;MID('Special Help Table'!$A525,SEARCH("; ",'Special Help Table'!$A525)+2,SEARCH(",",'Special Help Table'!$A525,SEARCH(";",'Special Help Table'!$A525))-SEARCH(";",'Special Help Table'!$A525)-2),AND(LEN('Special Help Table'!$A525)-LEN(SUBSTITUTE('Special Help Table'!$A525,"and ",""))=0,LEN('Special Help Table'!$A525)-LEN(SUBSTITUTE('Special Help Table'!$A525,";",""))=0),'Special Help Table'!$A525,AND(LEN('Special Help Table'!$A525)-LEN(SUBSTITUTE('Special Help Table'!$A525,",","")=1),LEN('Special Help Table'!$A525)-LEN(SUBSTITUTE('Special Help Table'!$A525," ","")=20),LEN('Special Help Table'!$A525)-LEN(SUBSTITUTE('Special Help Table'!$A525," and",""))=0,LEN('Special Help Table'!$A525)-LEN(SUBSTITUTE('Special Help Table'!$A525,",","",FIND(" ",'Special Help Table'!$A525)+1))=0),RIGHT('Special Help Table'!$A525,LEN('Special Help Table'!$A525)-FIND(", ",'Special Help Table'!$A525))&amp;" "&amp;LEFT('Special Help Table'!$A525,FIND(",",'Special Help Table'!$A525)-1),AND(LEN('Special Help Table'!$A525)-LEN(SUBSTITUTE('Special Help Table'!$A525,"editor",""))=6,LEN('Special Help Table'!$A525)-LEN(SUBSTITUTE('Special Help Table'!$A525,"(",""))=0,LEN('Special Help Table'!$A525)-LEN(SUBSTITUTE('Special Help Table'!$A525,"and",""))=3,LEN('Special Help Table'!$A525)-LEN(SUBSTITUTE('Special Help Table'!$A525,",",""))=1,LEN('Special Help Table'!$A525)-LEN(SUBSTITUTE('Special Help Table'!$A525," ",""))=3),'Special Help Table'!$A525)</f>
        <v xml:space="preserve"> Marcus Nodder</v>
      </c>
      <c r="C525" s="4" t="s">
        <v>1000</v>
      </c>
      <c r="D525" s="2" t="s">
        <v>1001</v>
      </c>
      <c r="E525" s="2" t="s">
        <v>16</v>
      </c>
      <c r="F525" s="2" t="s">
        <v>28</v>
      </c>
      <c r="G525" s="2"/>
      <c r="H525" s="2"/>
      <c r="I525" s="2"/>
      <c r="J525" s="2" t="s">
        <v>1002</v>
      </c>
      <c r="K525" s="3">
        <v>43872</v>
      </c>
      <c r="L525" s="2"/>
      <c r="M525" s="2"/>
      <c r="N525" s="2" t="s">
        <v>18</v>
      </c>
    </row>
    <row r="526" spans="1:14" ht="15.75" customHeight="1" x14ac:dyDescent="0.35">
      <c r="A526" s="2" t="s">
        <v>1003</v>
      </c>
      <c r="B526" s="2" t="str" cm="1">
        <f t="array" ref="B526">_xlfn.IFS(AND(LEN('Special Help Table'!$A526)-(LEN(SUBSTITUTE('Special Help Table'!$A526,";","")))=0,LEN('Special Help Table'!$A526)-LEN(SUBSTITUTE('Special Help Table'!$A526,",",""))=1,LEN('Special Help Table'!$A526)-LEN(SUBSTITUTE('Special Help Table'!$A526,"and ",""))=0),MID('Special Help Table'!$A526&amp;" "&amp;'Special Help Table'!$A526,SEARCH(", ",'Special Help Table'!$A526)+1,LEN('Special Help Table'!$A526)),AND(LEN('Special Help Table'!$A526)-(LEN(SUBSTITUTE('Special Help Table'!$A526,";","")))=1,LEN('Special Help Table'!$A526)-LEN(SUBSTITUTE('Special Help Table'!$A526,"and ",""))=0),MID('Special Help Table'!$A526,SEARCH(",",'Special Help Table'!$A526)+1,(SEARCH(";",'Special Help Table'!$A526)-1)-SEARCH(",",'Special Help Table'!$A526))&amp;" "&amp;LEFT('Special Help Table'!$A526,SEARCH(",",'Special Help Table'!$A526)-1)&amp;";"&amp;RIGHT('Special Help Table'!$A526,LEN('Special Help Table'!$A526)-SEARCH(",",'Special Help Table'!$A526,SEARCH(";",'Special Help Table'!$A526)))&amp;" "&amp;MID('Special Help Table'!$A526,SEARCH("; ",'Special Help Table'!$A526)+2,SEARCH(",",'Special Help Table'!$A526,SEARCH(";",'Special Help Table'!$A526))-SEARCH(";",'Special Help Table'!$A526)-2),AND(LEN('Special Help Table'!$A526)-LEN(SUBSTITUTE('Special Help Table'!$A526,"and ",""))=0,LEN('Special Help Table'!$A526)-LEN(SUBSTITUTE('Special Help Table'!$A526,";",""))=0),'Special Help Table'!$A526,AND(LEN('Special Help Table'!$A526)-LEN(SUBSTITUTE('Special Help Table'!$A526,",","")=1),LEN('Special Help Table'!$A526)-LEN(SUBSTITUTE('Special Help Table'!$A526," ","")=20),LEN('Special Help Table'!$A526)-LEN(SUBSTITUTE('Special Help Table'!$A526," and",""))=0,LEN('Special Help Table'!$A526)-LEN(SUBSTITUTE('Special Help Table'!$A526,",","",FIND(" ",'Special Help Table'!$A526)+1))=0),RIGHT('Special Help Table'!$A526,LEN('Special Help Table'!$A526)-FIND(", ",'Special Help Table'!$A526))&amp;" "&amp;LEFT('Special Help Table'!$A526,FIND(",",'Special Help Table'!$A526)-1),AND(LEN('Special Help Table'!$A526)-LEN(SUBSTITUTE('Special Help Table'!$A526,"editor",""))=6,LEN('Special Help Table'!$A526)-LEN(SUBSTITUTE('Special Help Table'!$A526,"(",""))=0,LEN('Special Help Table'!$A526)-LEN(SUBSTITUTE('Special Help Table'!$A526,"and",""))=3,LEN('Special Help Table'!$A526)-LEN(SUBSTITUTE('Special Help Table'!$A526,",",""))=1,LEN('Special Help Table'!$A526)-LEN(SUBSTITUTE('Special Help Table'!$A526," ",""))=3),'Special Help Table'!$A526)</f>
        <v xml:space="preserve"> Scott O'Dell</v>
      </c>
      <c r="C526" s="4" t="s">
        <v>1004</v>
      </c>
      <c r="D526" s="2"/>
      <c r="E526" s="2" t="s">
        <v>16</v>
      </c>
      <c r="F526" s="2" t="s">
        <v>72</v>
      </c>
      <c r="G526" s="2"/>
      <c r="H526" s="2"/>
      <c r="I526" s="2"/>
      <c r="J526" s="2"/>
      <c r="K526" s="3">
        <v>41164</v>
      </c>
      <c r="L526" s="2"/>
      <c r="M526" s="2"/>
      <c r="N526" s="2" t="s">
        <v>18</v>
      </c>
    </row>
    <row r="527" spans="1:14" ht="15.75" customHeight="1" x14ac:dyDescent="0.35">
      <c r="A527" s="2" t="s">
        <v>1005</v>
      </c>
      <c r="B527" s="2" t="str" cm="1">
        <f t="array" ref="B527">_xlfn.IFS(AND(LEN('Special Help Table'!$A527)-(LEN(SUBSTITUTE('Special Help Table'!$A527,";","")))=0,LEN('Special Help Table'!$A527)-LEN(SUBSTITUTE('Special Help Table'!$A527,",",""))=1,LEN('Special Help Table'!$A527)-LEN(SUBSTITUTE('Special Help Table'!$A527,"and ",""))=0),MID('Special Help Table'!$A527&amp;" "&amp;'Special Help Table'!$A527,SEARCH(", ",'Special Help Table'!$A527)+1,LEN('Special Help Table'!$A527)),AND(LEN('Special Help Table'!$A527)-(LEN(SUBSTITUTE('Special Help Table'!$A527,";","")))=1,LEN('Special Help Table'!$A527)-LEN(SUBSTITUTE('Special Help Table'!$A527,"and ",""))=0),MID('Special Help Table'!$A527,SEARCH(",",'Special Help Table'!$A527)+1,(SEARCH(";",'Special Help Table'!$A527)-1)-SEARCH(",",'Special Help Table'!$A527))&amp;" "&amp;LEFT('Special Help Table'!$A527,SEARCH(",",'Special Help Table'!$A527)-1)&amp;";"&amp;RIGHT('Special Help Table'!$A527,LEN('Special Help Table'!$A527)-SEARCH(",",'Special Help Table'!$A527,SEARCH(";",'Special Help Table'!$A527)))&amp;" "&amp;MID('Special Help Table'!$A527,SEARCH("; ",'Special Help Table'!$A527)+2,SEARCH(",",'Special Help Table'!$A527,SEARCH(";",'Special Help Table'!$A527))-SEARCH(";",'Special Help Table'!$A527)-2),AND(LEN('Special Help Table'!$A527)-LEN(SUBSTITUTE('Special Help Table'!$A527,"and ",""))=0,LEN('Special Help Table'!$A527)-LEN(SUBSTITUTE('Special Help Table'!$A527,";",""))=0),'Special Help Table'!$A527,AND(LEN('Special Help Table'!$A527)-LEN(SUBSTITUTE('Special Help Table'!$A527,",","")=1),LEN('Special Help Table'!$A527)-LEN(SUBSTITUTE('Special Help Table'!$A527," ","")=20),LEN('Special Help Table'!$A527)-LEN(SUBSTITUTE('Special Help Table'!$A527," and",""))=0,LEN('Special Help Table'!$A527)-LEN(SUBSTITUTE('Special Help Table'!$A527,",","",FIND(" ",'Special Help Table'!$A527)+1))=0),RIGHT('Special Help Table'!$A527,LEN('Special Help Table'!$A527)-FIND(", ",'Special Help Table'!$A527))&amp;" "&amp;LEFT('Special Help Table'!$A527,FIND(",",'Special Help Table'!$A527)-1),AND(LEN('Special Help Table'!$A527)-LEN(SUBSTITUTE('Special Help Table'!$A527,"editor",""))=6,LEN('Special Help Table'!$A527)-LEN(SUBSTITUTE('Special Help Table'!$A527,"(",""))=0,LEN('Special Help Table'!$A527)-LEN(SUBSTITUTE('Special Help Table'!$A527,"and",""))=3,LEN('Special Help Table'!$A527)-LEN(SUBSTITUTE('Special Help Table'!$A527,",",""))=1,LEN('Special Help Table'!$A527)-LEN(SUBSTITUTE('Special Help Table'!$A527," ",""))=3),'Special Help Table'!$A527)</f>
        <v xml:space="preserve"> Susan Olasky</v>
      </c>
      <c r="C527" s="4" t="s">
        <v>1006</v>
      </c>
      <c r="D527" s="2" t="s">
        <v>1007</v>
      </c>
      <c r="E527" s="2" t="s">
        <v>16</v>
      </c>
      <c r="F527" s="2" t="s">
        <v>72</v>
      </c>
      <c r="G527" s="2"/>
      <c r="H527" s="2"/>
      <c r="I527" s="2"/>
      <c r="J527" s="2"/>
      <c r="K527" s="3">
        <v>43831</v>
      </c>
      <c r="L527" s="2"/>
      <c r="M527" s="2"/>
      <c r="N527" s="2" t="s">
        <v>18</v>
      </c>
    </row>
    <row r="528" spans="1:14" ht="15.75" customHeight="1" x14ac:dyDescent="0.35">
      <c r="A528" s="2" t="s">
        <v>1005</v>
      </c>
      <c r="B528" s="2" t="str" cm="1">
        <f t="array" ref="B528">_xlfn.IFS(AND(LEN('Special Help Table'!$A528)-(LEN(SUBSTITUTE('Special Help Table'!$A528,";","")))=0,LEN('Special Help Table'!$A528)-LEN(SUBSTITUTE('Special Help Table'!$A528,",",""))=1,LEN('Special Help Table'!$A528)-LEN(SUBSTITUTE('Special Help Table'!$A528,"and ",""))=0),MID('Special Help Table'!$A528&amp;" "&amp;'Special Help Table'!$A528,SEARCH(", ",'Special Help Table'!$A528)+1,LEN('Special Help Table'!$A528)),AND(LEN('Special Help Table'!$A528)-(LEN(SUBSTITUTE('Special Help Table'!$A528,";","")))=1,LEN('Special Help Table'!$A528)-LEN(SUBSTITUTE('Special Help Table'!$A528,"and ",""))=0),MID('Special Help Table'!$A528,SEARCH(",",'Special Help Table'!$A528)+1,(SEARCH(";",'Special Help Table'!$A528)-1)-SEARCH(",",'Special Help Table'!$A528))&amp;" "&amp;LEFT('Special Help Table'!$A528,SEARCH(",",'Special Help Table'!$A528)-1)&amp;";"&amp;RIGHT('Special Help Table'!$A528,LEN('Special Help Table'!$A528)-SEARCH(",",'Special Help Table'!$A528,SEARCH(";",'Special Help Table'!$A528)))&amp;" "&amp;MID('Special Help Table'!$A528,SEARCH("; ",'Special Help Table'!$A528)+2,SEARCH(",",'Special Help Table'!$A528,SEARCH(";",'Special Help Table'!$A528))-SEARCH(";",'Special Help Table'!$A528)-2),AND(LEN('Special Help Table'!$A528)-LEN(SUBSTITUTE('Special Help Table'!$A528,"and ",""))=0,LEN('Special Help Table'!$A528)-LEN(SUBSTITUTE('Special Help Table'!$A528,";",""))=0),'Special Help Table'!$A528,AND(LEN('Special Help Table'!$A528)-LEN(SUBSTITUTE('Special Help Table'!$A528,",","")=1),LEN('Special Help Table'!$A528)-LEN(SUBSTITUTE('Special Help Table'!$A528," ","")=20),LEN('Special Help Table'!$A528)-LEN(SUBSTITUTE('Special Help Table'!$A528," and",""))=0,LEN('Special Help Table'!$A528)-LEN(SUBSTITUTE('Special Help Table'!$A528,",","",FIND(" ",'Special Help Table'!$A528)+1))=0),RIGHT('Special Help Table'!$A528,LEN('Special Help Table'!$A528)-FIND(", ",'Special Help Table'!$A528))&amp;" "&amp;LEFT('Special Help Table'!$A528,FIND(",",'Special Help Table'!$A528)-1),AND(LEN('Special Help Table'!$A528)-LEN(SUBSTITUTE('Special Help Table'!$A528,"editor",""))=6,LEN('Special Help Table'!$A528)-LEN(SUBSTITUTE('Special Help Table'!$A528,"(",""))=0,LEN('Special Help Table'!$A528)-LEN(SUBSTITUTE('Special Help Table'!$A528,"and",""))=3,LEN('Special Help Table'!$A528)-LEN(SUBSTITUTE('Special Help Table'!$A528,",",""))=1,LEN('Special Help Table'!$A528)-LEN(SUBSTITUTE('Special Help Table'!$A528," ",""))=3),'Special Help Table'!$A528)</f>
        <v xml:space="preserve"> Susan Olasky</v>
      </c>
      <c r="C528" s="4" t="s">
        <v>1008</v>
      </c>
      <c r="D528" s="2" t="s">
        <v>1007</v>
      </c>
      <c r="E528" s="2" t="s">
        <v>16</v>
      </c>
      <c r="F528" s="2" t="s">
        <v>72</v>
      </c>
      <c r="G528" s="2"/>
      <c r="H528" s="2"/>
      <c r="I528" s="2"/>
      <c r="J528" s="2"/>
      <c r="K528" s="3">
        <v>43831</v>
      </c>
      <c r="L528" s="2"/>
      <c r="M528" s="2"/>
      <c r="N528" s="2" t="s">
        <v>18</v>
      </c>
    </row>
    <row r="529" spans="1:14" ht="15.75" customHeight="1" x14ac:dyDescent="0.35">
      <c r="A529" s="2" t="s">
        <v>1005</v>
      </c>
      <c r="B529" s="2" t="str" cm="1">
        <f t="array" ref="B529">_xlfn.IFS(AND(LEN('Special Help Table'!$A529)-(LEN(SUBSTITUTE('Special Help Table'!$A529,";","")))=0,LEN('Special Help Table'!$A529)-LEN(SUBSTITUTE('Special Help Table'!$A529,",",""))=1,LEN('Special Help Table'!$A529)-LEN(SUBSTITUTE('Special Help Table'!$A529,"and ",""))=0),MID('Special Help Table'!$A529&amp;" "&amp;'Special Help Table'!$A529,SEARCH(", ",'Special Help Table'!$A529)+1,LEN('Special Help Table'!$A529)),AND(LEN('Special Help Table'!$A529)-(LEN(SUBSTITUTE('Special Help Table'!$A529,";","")))=1,LEN('Special Help Table'!$A529)-LEN(SUBSTITUTE('Special Help Table'!$A529,"and ",""))=0),MID('Special Help Table'!$A529,SEARCH(",",'Special Help Table'!$A529)+1,(SEARCH(";",'Special Help Table'!$A529)-1)-SEARCH(",",'Special Help Table'!$A529))&amp;" "&amp;LEFT('Special Help Table'!$A529,SEARCH(",",'Special Help Table'!$A529)-1)&amp;";"&amp;RIGHT('Special Help Table'!$A529,LEN('Special Help Table'!$A529)-SEARCH(",",'Special Help Table'!$A529,SEARCH(";",'Special Help Table'!$A529)))&amp;" "&amp;MID('Special Help Table'!$A529,SEARCH("; ",'Special Help Table'!$A529)+2,SEARCH(",",'Special Help Table'!$A529,SEARCH(";",'Special Help Table'!$A529))-SEARCH(";",'Special Help Table'!$A529)-2),AND(LEN('Special Help Table'!$A529)-LEN(SUBSTITUTE('Special Help Table'!$A529,"and ",""))=0,LEN('Special Help Table'!$A529)-LEN(SUBSTITUTE('Special Help Table'!$A529,";",""))=0),'Special Help Table'!$A529,AND(LEN('Special Help Table'!$A529)-LEN(SUBSTITUTE('Special Help Table'!$A529,",","")=1),LEN('Special Help Table'!$A529)-LEN(SUBSTITUTE('Special Help Table'!$A529," ","")=20),LEN('Special Help Table'!$A529)-LEN(SUBSTITUTE('Special Help Table'!$A529," and",""))=0,LEN('Special Help Table'!$A529)-LEN(SUBSTITUTE('Special Help Table'!$A529,",","",FIND(" ",'Special Help Table'!$A529)+1))=0),RIGHT('Special Help Table'!$A529,LEN('Special Help Table'!$A529)-FIND(", ",'Special Help Table'!$A529))&amp;" "&amp;LEFT('Special Help Table'!$A529,FIND(",",'Special Help Table'!$A529)-1),AND(LEN('Special Help Table'!$A529)-LEN(SUBSTITUTE('Special Help Table'!$A529,"editor",""))=6,LEN('Special Help Table'!$A529)-LEN(SUBSTITUTE('Special Help Table'!$A529,"(",""))=0,LEN('Special Help Table'!$A529)-LEN(SUBSTITUTE('Special Help Table'!$A529,"and",""))=3,LEN('Special Help Table'!$A529)-LEN(SUBSTITUTE('Special Help Table'!$A529,",",""))=1,LEN('Special Help Table'!$A529)-LEN(SUBSTITUTE('Special Help Table'!$A529," ",""))=3),'Special Help Table'!$A529)</f>
        <v xml:space="preserve"> Susan Olasky</v>
      </c>
      <c r="C529" s="4" t="s">
        <v>1009</v>
      </c>
      <c r="D529" s="2" t="s">
        <v>1007</v>
      </c>
      <c r="E529" s="2" t="s">
        <v>16</v>
      </c>
      <c r="F529" s="2" t="s">
        <v>72</v>
      </c>
      <c r="G529" s="2"/>
      <c r="H529" s="2"/>
      <c r="I529" s="2"/>
      <c r="J529" s="2"/>
      <c r="K529" s="3">
        <v>43831</v>
      </c>
      <c r="L529" s="2"/>
      <c r="M529" s="2"/>
      <c r="N529" s="2" t="s">
        <v>18</v>
      </c>
    </row>
    <row r="530" spans="1:14" ht="15.75" customHeight="1" x14ac:dyDescent="0.35">
      <c r="A530" s="2" t="s">
        <v>1005</v>
      </c>
      <c r="B530" s="2" t="str" cm="1">
        <f t="array" ref="B530">_xlfn.IFS(AND(LEN('Special Help Table'!$A530)-(LEN(SUBSTITUTE('Special Help Table'!$A530,";","")))=0,LEN('Special Help Table'!$A530)-LEN(SUBSTITUTE('Special Help Table'!$A530,",",""))=1,LEN('Special Help Table'!$A530)-LEN(SUBSTITUTE('Special Help Table'!$A530,"and ",""))=0),MID('Special Help Table'!$A530&amp;" "&amp;'Special Help Table'!$A530,SEARCH(", ",'Special Help Table'!$A530)+1,LEN('Special Help Table'!$A530)),AND(LEN('Special Help Table'!$A530)-(LEN(SUBSTITUTE('Special Help Table'!$A530,";","")))=1,LEN('Special Help Table'!$A530)-LEN(SUBSTITUTE('Special Help Table'!$A530,"and ",""))=0),MID('Special Help Table'!$A530,SEARCH(",",'Special Help Table'!$A530)+1,(SEARCH(";",'Special Help Table'!$A530)-1)-SEARCH(",",'Special Help Table'!$A530))&amp;" "&amp;LEFT('Special Help Table'!$A530,SEARCH(",",'Special Help Table'!$A530)-1)&amp;";"&amp;RIGHT('Special Help Table'!$A530,LEN('Special Help Table'!$A530)-SEARCH(",",'Special Help Table'!$A530,SEARCH(";",'Special Help Table'!$A530)))&amp;" "&amp;MID('Special Help Table'!$A530,SEARCH("; ",'Special Help Table'!$A530)+2,SEARCH(",",'Special Help Table'!$A530,SEARCH(";",'Special Help Table'!$A530))-SEARCH(";",'Special Help Table'!$A530)-2),AND(LEN('Special Help Table'!$A530)-LEN(SUBSTITUTE('Special Help Table'!$A530,"and ",""))=0,LEN('Special Help Table'!$A530)-LEN(SUBSTITUTE('Special Help Table'!$A530,";",""))=0),'Special Help Table'!$A530,AND(LEN('Special Help Table'!$A530)-LEN(SUBSTITUTE('Special Help Table'!$A530,",","")=1),LEN('Special Help Table'!$A530)-LEN(SUBSTITUTE('Special Help Table'!$A530," ","")=20),LEN('Special Help Table'!$A530)-LEN(SUBSTITUTE('Special Help Table'!$A530," and",""))=0,LEN('Special Help Table'!$A530)-LEN(SUBSTITUTE('Special Help Table'!$A530,",","",FIND(" ",'Special Help Table'!$A530)+1))=0),RIGHT('Special Help Table'!$A530,LEN('Special Help Table'!$A530)-FIND(", ",'Special Help Table'!$A530))&amp;" "&amp;LEFT('Special Help Table'!$A530,FIND(",",'Special Help Table'!$A530)-1),AND(LEN('Special Help Table'!$A530)-LEN(SUBSTITUTE('Special Help Table'!$A530,"editor",""))=6,LEN('Special Help Table'!$A530)-LEN(SUBSTITUTE('Special Help Table'!$A530,"(",""))=0,LEN('Special Help Table'!$A530)-LEN(SUBSTITUTE('Special Help Table'!$A530,"and",""))=3,LEN('Special Help Table'!$A530)-LEN(SUBSTITUTE('Special Help Table'!$A530,",",""))=1,LEN('Special Help Table'!$A530)-LEN(SUBSTITUTE('Special Help Table'!$A530," ",""))=3),'Special Help Table'!$A530)</f>
        <v xml:space="preserve"> Susan Olasky</v>
      </c>
      <c r="C530" s="4" t="s">
        <v>1010</v>
      </c>
      <c r="D530" s="2"/>
      <c r="E530" s="2" t="s">
        <v>16</v>
      </c>
      <c r="F530" s="2" t="s">
        <v>72</v>
      </c>
      <c r="G530" s="2"/>
      <c r="H530" s="2"/>
      <c r="I530" s="2"/>
      <c r="J530" s="2"/>
      <c r="K530" s="3"/>
      <c r="L530" s="2"/>
      <c r="M530" s="2"/>
      <c r="N530" s="2" t="s">
        <v>18</v>
      </c>
    </row>
    <row r="531" spans="1:14" ht="15.75" customHeight="1" x14ac:dyDescent="0.35">
      <c r="A531" s="2" t="s">
        <v>1011</v>
      </c>
      <c r="B531" s="2" t="str" cm="1">
        <f t="array" ref="B531">_xlfn.IFS(AND(LEN('Special Help Table'!$A531)-(LEN(SUBSTITUTE('Special Help Table'!$A531,";","")))=0,LEN('Special Help Table'!$A531)-LEN(SUBSTITUTE('Special Help Table'!$A531,",",""))=1,LEN('Special Help Table'!$A531)-LEN(SUBSTITUTE('Special Help Table'!$A531,"and ",""))=0),MID('Special Help Table'!$A531&amp;" "&amp;'Special Help Table'!$A531,SEARCH(", ",'Special Help Table'!$A531)+1,LEN('Special Help Table'!$A531)),AND(LEN('Special Help Table'!$A531)-(LEN(SUBSTITUTE('Special Help Table'!$A531,";","")))=1,LEN('Special Help Table'!$A531)-LEN(SUBSTITUTE('Special Help Table'!$A531,"and ",""))=0),MID('Special Help Table'!$A531,SEARCH(",",'Special Help Table'!$A531)+1,(SEARCH(";",'Special Help Table'!$A531)-1)-SEARCH(",",'Special Help Table'!$A531))&amp;" "&amp;LEFT('Special Help Table'!$A531,SEARCH(",",'Special Help Table'!$A531)-1)&amp;";"&amp;RIGHT('Special Help Table'!$A531,LEN('Special Help Table'!$A531)-SEARCH(",",'Special Help Table'!$A531,SEARCH(";",'Special Help Table'!$A531)))&amp;" "&amp;MID('Special Help Table'!$A531,SEARCH("; ",'Special Help Table'!$A531)+2,SEARCH(",",'Special Help Table'!$A531,SEARCH(";",'Special Help Table'!$A531))-SEARCH(";",'Special Help Table'!$A531)-2),AND(LEN('Special Help Table'!$A531)-LEN(SUBSTITUTE('Special Help Table'!$A531,"and ",""))=0,LEN('Special Help Table'!$A531)-LEN(SUBSTITUTE('Special Help Table'!$A531,";",""))=0),'Special Help Table'!$A531,AND(LEN('Special Help Table'!$A531)-LEN(SUBSTITUTE('Special Help Table'!$A531,",","")=1),LEN('Special Help Table'!$A531)-LEN(SUBSTITUTE('Special Help Table'!$A531," ","")=20),LEN('Special Help Table'!$A531)-LEN(SUBSTITUTE('Special Help Table'!$A531," and",""))=0,LEN('Special Help Table'!$A531)-LEN(SUBSTITUTE('Special Help Table'!$A531,",","",FIND(" ",'Special Help Table'!$A531)+1))=0),RIGHT('Special Help Table'!$A531,LEN('Special Help Table'!$A531)-FIND(", ",'Special Help Table'!$A531))&amp;" "&amp;LEFT('Special Help Table'!$A531,FIND(",",'Special Help Table'!$A531)-1),AND(LEN('Special Help Table'!$A531)-LEN(SUBSTITUTE('Special Help Table'!$A531,"editor",""))=6,LEN('Special Help Table'!$A531)-LEN(SUBSTITUTE('Special Help Table'!$A531,"(",""))=0,LEN('Special Help Table'!$A531)-LEN(SUBSTITUTE('Special Help Table'!$A531,"and",""))=3,LEN('Special Help Table'!$A531)-LEN(SUBSTITUTE('Special Help Table'!$A531,",",""))=1,LEN('Special Help Table'!$A531)-LEN(SUBSTITUTE('Special Help Table'!$A531," ",""))=3),'Special Help Table'!$A531)</f>
        <v xml:space="preserve"> K. Scott Oliphint</v>
      </c>
      <c r="C531" s="4" t="s">
        <v>1012</v>
      </c>
      <c r="D531" s="2"/>
      <c r="E531" s="2" t="s">
        <v>16</v>
      </c>
      <c r="F531" s="2" t="s">
        <v>20</v>
      </c>
      <c r="G531" s="2"/>
      <c r="H531" s="2"/>
      <c r="I531" s="2"/>
      <c r="J531" s="2" t="s">
        <v>142</v>
      </c>
      <c r="K531" s="3">
        <v>41499</v>
      </c>
      <c r="L531" s="2"/>
      <c r="M531" s="2"/>
      <c r="N531" s="2" t="s">
        <v>18</v>
      </c>
    </row>
    <row r="532" spans="1:14" ht="15.75" customHeight="1" x14ac:dyDescent="0.35">
      <c r="A532" s="2" t="s">
        <v>1011</v>
      </c>
      <c r="B532" s="2" t="str" cm="1">
        <f t="array" ref="B532">_xlfn.IFS(AND(LEN('Special Help Table'!$A532)-(LEN(SUBSTITUTE('Special Help Table'!$A532,";","")))=0,LEN('Special Help Table'!$A532)-LEN(SUBSTITUTE('Special Help Table'!$A532,",",""))=1,LEN('Special Help Table'!$A532)-LEN(SUBSTITUTE('Special Help Table'!$A532,"and ",""))=0),MID('Special Help Table'!$A532&amp;" "&amp;'Special Help Table'!$A532,SEARCH(", ",'Special Help Table'!$A532)+1,LEN('Special Help Table'!$A532)),AND(LEN('Special Help Table'!$A532)-(LEN(SUBSTITUTE('Special Help Table'!$A532,";","")))=1,LEN('Special Help Table'!$A532)-LEN(SUBSTITUTE('Special Help Table'!$A532,"and ",""))=0),MID('Special Help Table'!$A532,SEARCH(",",'Special Help Table'!$A532)+1,(SEARCH(";",'Special Help Table'!$A532)-1)-SEARCH(",",'Special Help Table'!$A532))&amp;" "&amp;LEFT('Special Help Table'!$A532,SEARCH(",",'Special Help Table'!$A532)-1)&amp;";"&amp;RIGHT('Special Help Table'!$A532,LEN('Special Help Table'!$A532)-SEARCH(",",'Special Help Table'!$A532,SEARCH(";",'Special Help Table'!$A532)))&amp;" "&amp;MID('Special Help Table'!$A532,SEARCH("; ",'Special Help Table'!$A532)+2,SEARCH(",",'Special Help Table'!$A532,SEARCH(";",'Special Help Table'!$A532))-SEARCH(";",'Special Help Table'!$A532)-2),AND(LEN('Special Help Table'!$A532)-LEN(SUBSTITUTE('Special Help Table'!$A532,"and ",""))=0,LEN('Special Help Table'!$A532)-LEN(SUBSTITUTE('Special Help Table'!$A532,";",""))=0),'Special Help Table'!$A532,AND(LEN('Special Help Table'!$A532)-LEN(SUBSTITUTE('Special Help Table'!$A532,",","")=1),LEN('Special Help Table'!$A532)-LEN(SUBSTITUTE('Special Help Table'!$A532," ","")=20),LEN('Special Help Table'!$A532)-LEN(SUBSTITUTE('Special Help Table'!$A532," and",""))=0,LEN('Special Help Table'!$A532)-LEN(SUBSTITUTE('Special Help Table'!$A532,",","",FIND(" ",'Special Help Table'!$A532)+1))=0),RIGHT('Special Help Table'!$A532,LEN('Special Help Table'!$A532)-FIND(", ",'Special Help Table'!$A532))&amp;" "&amp;LEFT('Special Help Table'!$A532,FIND(",",'Special Help Table'!$A532)-1),AND(LEN('Special Help Table'!$A532)-LEN(SUBSTITUTE('Special Help Table'!$A532,"editor",""))=6,LEN('Special Help Table'!$A532)-LEN(SUBSTITUTE('Special Help Table'!$A532,"(",""))=0,LEN('Special Help Table'!$A532)-LEN(SUBSTITUTE('Special Help Table'!$A532,"and",""))=3,LEN('Special Help Table'!$A532)-LEN(SUBSTITUTE('Special Help Table'!$A532,",",""))=1,LEN('Special Help Table'!$A532)-LEN(SUBSTITUTE('Special Help Table'!$A532," ",""))=3),'Special Help Table'!$A532)</f>
        <v xml:space="preserve"> K. Scott Oliphint</v>
      </c>
      <c r="C532" s="4" t="s">
        <v>1013</v>
      </c>
      <c r="D532" s="2" t="s">
        <v>1014</v>
      </c>
      <c r="E532" s="2" t="s">
        <v>16</v>
      </c>
      <c r="F532" s="2" t="s">
        <v>20</v>
      </c>
      <c r="G532" s="2"/>
      <c r="H532" s="2"/>
      <c r="I532" s="2"/>
      <c r="J532" s="2" t="s">
        <v>1015</v>
      </c>
      <c r="K532" s="3">
        <v>42659</v>
      </c>
      <c r="L532" s="2"/>
      <c r="M532" s="2"/>
      <c r="N532" s="2" t="s">
        <v>18</v>
      </c>
    </row>
    <row r="533" spans="1:14" ht="15.75" customHeight="1" x14ac:dyDescent="0.35">
      <c r="A533" s="2" t="s">
        <v>1016</v>
      </c>
      <c r="B533" s="2" t="str" cm="1">
        <f t="array" ref="B533">_xlfn.IFS(AND(LEN('Special Help Table'!$A533)-(LEN(SUBSTITUTE('Special Help Table'!$A533,";","")))=0,LEN('Special Help Table'!$A533)-LEN(SUBSTITUTE('Special Help Table'!$A533,",",""))=1,LEN('Special Help Table'!$A533)-LEN(SUBSTITUTE('Special Help Table'!$A533,"and ",""))=0),MID('Special Help Table'!$A533&amp;" "&amp;'Special Help Table'!$A533,SEARCH(", ",'Special Help Table'!$A533)+1,LEN('Special Help Table'!$A533)),AND(LEN('Special Help Table'!$A533)-(LEN(SUBSTITUTE('Special Help Table'!$A533,";","")))=1,LEN('Special Help Table'!$A533)-LEN(SUBSTITUTE('Special Help Table'!$A533,"and ",""))=0),MID('Special Help Table'!$A533,SEARCH(",",'Special Help Table'!$A533)+1,(SEARCH(";",'Special Help Table'!$A533)-1)-SEARCH(",",'Special Help Table'!$A533))&amp;" "&amp;LEFT('Special Help Table'!$A533,SEARCH(",",'Special Help Table'!$A533)-1)&amp;";"&amp;RIGHT('Special Help Table'!$A533,LEN('Special Help Table'!$A533)-SEARCH(",",'Special Help Table'!$A533,SEARCH(";",'Special Help Table'!$A533)))&amp;" "&amp;MID('Special Help Table'!$A533,SEARCH("; ",'Special Help Table'!$A533)+2,SEARCH(",",'Special Help Table'!$A533,SEARCH(";",'Special Help Table'!$A533))-SEARCH(";",'Special Help Table'!$A533)-2),AND(LEN('Special Help Table'!$A533)-LEN(SUBSTITUTE('Special Help Table'!$A533,"and ",""))=0,LEN('Special Help Table'!$A533)-LEN(SUBSTITUTE('Special Help Table'!$A533,";",""))=0),'Special Help Table'!$A533,AND(LEN('Special Help Table'!$A533)-LEN(SUBSTITUTE('Special Help Table'!$A533,",","")=1),LEN('Special Help Table'!$A533)-LEN(SUBSTITUTE('Special Help Table'!$A533," ","")=20),LEN('Special Help Table'!$A533)-LEN(SUBSTITUTE('Special Help Table'!$A533," and",""))=0,LEN('Special Help Table'!$A533)-LEN(SUBSTITUTE('Special Help Table'!$A533,",","",FIND(" ",'Special Help Table'!$A533)+1))=0),RIGHT('Special Help Table'!$A533,LEN('Special Help Table'!$A533)-FIND(", ",'Special Help Table'!$A533))&amp;" "&amp;LEFT('Special Help Table'!$A533,FIND(",",'Special Help Table'!$A533)-1),AND(LEN('Special Help Table'!$A533)-LEN(SUBSTITUTE('Special Help Table'!$A533,"editor",""))=6,LEN('Special Help Table'!$A533)-LEN(SUBSTITUTE('Special Help Table'!$A533,"(",""))=0,LEN('Special Help Table'!$A533)-LEN(SUBSTITUTE('Special Help Table'!$A533,"and",""))=3,LEN('Special Help Table'!$A533)-LEN(SUBSTITUTE('Special Help Table'!$A533,",",""))=1,LEN('Special Help Table'!$A533)-LEN(SUBSTITUTE('Special Help Table'!$A533," ",""))=3),'Special Help Table'!$A533)</f>
        <v xml:space="preserve"> Viggo Olsen</v>
      </c>
      <c r="C533" s="4" t="s">
        <v>1017</v>
      </c>
      <c r="D533" s="2"/>
      <c r="E533" s="2" t="s">
        <v>16</v>
      </c>
      <c r="F533" s="2" t="s">
        <v>39</v>
      </c>
      <c r="G533" s="2"/>
      <c r="H533" s="2"/>
      <c r="I533" s="2"/>
      <c r="J533" s="2"/>
      <c r="K533" s="3">
        <v>40045</v>
      </c>
      <c r="L533" s="2"/>
      <c r="M533" s="2"/>
      <c r="N533" s="2" t="s">
        <v>18</v>
      </c>
    </row>
    <row r="534" spans="1:14" ht="15.75" customHeight="1" x14ac:dyDescent="0.35">
      <c r="A534" s="2" t="s">
        <v>1018</v>
      </c>
      <c r="B534" s="2" t="str" cm="1">
        <f t="array" ref="B534">_xlfn.IFS(AND(LEN('Special Help Table'!$A534)-(LEN(SUBSTITUTE('Special Help Table'!$A534,";","")))=0,LEN('Special Help Table'!$A534)-LEN(SUBSTITUTE('Special Help Table'!$A534,",",""))=1,LEN('Special Help Table'!$A534)-LEN(SUBSTITUTE('Special Help Table'!$A534,"and ",""))=0),MID('Special Help Table'!$A534&amp;" "&amp;'Special Help Table'!$A534,SEARCH(", ",'Special Help Table'!$A534)+1,LEN('Special Help Table'!$A534)),AND(LEN('Special Help Table'!$A534)-(LEN(SUBSTITUTE('Special Help Table'!$A534,";","")))=1,LEN('Special Help Table'!$A534)-LEN(SUBSTITUTE('Special Help Table'!$A534,"and ",""))=0),MID('Special Help Table'!$A534,SEARCH(",",'Special Help Table'!$A534)+1,(SEARCH(";",'Special Help Table'!$A534)-1)-SEARCH(",",'Special Help Table'!$A534))&amp;" "&amp;LEFT('Special Help Table'!$A534,SEARCH(",",'Special Help Table'!$A534)-1)&amp;";"&amp;RIGHT('Special Help Table'!$A534,LEN('Special Help Table'!$A534)-SEARCH(",",'Special Help Table'!$A534,SEARCH(";",'Special Help Table'!$A534)))&amp;" "&amp;MID('Special Help Table'!$A534,SEARCH("; ",'Special Help Table'!$A534)+2,SEARCH(",",'Special Help Table'!$A534,SEARCH(";",'Special Help Table'!$A534))-SEARCH(";",'Special Help Table'!$A534)-2),AND(LEN('Special Help Table'!$A534)-LEN(SUBSTITUTE('Special Help Table'!$A534,"and ",""))=0,LEN('Special Help Table'!$A534)-LEN(SUBSTITUTE('Special Help Table'!$A534,";",""))=0),'Special Help Table'!$A534,AND(LEN('Special Help Table'!$A534)-LEN(SUBSTITUTE('Special Help Table'!$A534,",","")=1),LEN('Special Help Table'!$A534)-LEN(SUBSTITUTE('Special Help Table'!$A534," ","")=20),LEN('Special Help Table'!$A534)-LEN(SUBSTITUTE('Special Help Table'!$A534," and",""))=0,LEN('Special Help Table'!$A534)-LEN(SUBSTITUTE('Special Help Table'!$A534,",","",FIND(" ",'Special Help Table'!$A534)+1))=0),RIGHT('Special Help Table'!$A534,LEN('Special Help Table'!$A534)-FIND(", ",'Special Help Table'!$A534))&amp;" "&amp;LEFT('Special Help Table'!$A534,FIND(",",'Special Help Table'!$A534)-1),AND(LEN('Special Help Table'!$A534)-LEN(SUBSTITUTE('Special Help Table'!$A534,"editor",""))=6,LEN('Special Help Table'!$A534)-LEN(SUBSTITUTE('Special Help Table'!$A534,"(",""))=0,LEN('Special Help Table'!$A534)-LEN(SUBSTITUTE('Special Help Table'!$A534,"and",""))=3,LEN('Special Help Table'!$A534)-LEN(SUBSTITUTE('Special Help Table'!$A534,",",""))=1,LEN('Special Help Table'!$A534)-LEN(SUBSTITUTE('Special Help Table'!$A534," ",""))=3),'Special Help Table'!$A534)</f>
        <v xml:space="preserve">OMF International </v>
      </c>
      <c r="C534" s="4" t="s">
        <v>1019</v>
      </c>
      <c r="D534" s="2"/>
      <c r="E534" s="2" t="s">
        <v>16</v>
      </c>
      <c r="F534" s="2" t="s">
        <v>39</v>
      </c>
      <c r="G534" s="2"/>
      <c r="H534" s="2"/>
      <c r="I534" s="2"/>
      <c r="J534" s="2"/>
      <c r="K534" s="3">
        <v>40046</v>
      </c>
      <c r="L534" s="2"/>
      <c r="M534" s="2"/>
      <c r="N534" s="2" t="s">
        <v>18</v>
      </c>
    </row>
    <row r="535" spans="1:14" ht="15.75" customHeight="1" x14ac:dyDescent="0.35">
      <c r="A535" s="2" t="s">
        <v>1020</v>
      </c>
      <c r="B535" s="2" t="str" cm="1">
        <f t="array" ref="B535">_xlfn.IFS(AND(LEN('Special Help Table'!$A535)-(LEN(SUBSTITUTE('Special Help Table'!$A535,";","")))=0,LEN('Special Help Table'!$A535)-LEN(SUBSTITUTE('Special Help Table'!$A535,",",""))=1,LEN('Special Help Table'!$A535)-LEN(SUBSTITUTE('Special Help Table'!$A535,"and ",""))=0),MID('Special Help Table'!$A535&amp;" "&amp;'Special Help Table'!$A535,SEARCH(", ",'Special Help Table'!$A535)+1,LEN('Special Help Table'!$A535)),AND(LEN('Special Help Table'!$A535)-(LEN(SUBSTITUTE('Special Help Table'!$A535,";","")))=1,LEN('Special Help Table'!$A535)-LEN(SUBSTITUTE('Special Help Table'!$A535,"and ",""))=0),MID('Special Help Table'!$A535,SEARCH(",",'Special Help Table'!$A535)+1,(SEARCH(";",'Special Help Table'!$A535)-1)-SEARCH(",",'Special Help Table'!$A535))&amp;" "&amp;LEFT('Special Help Table'!$A535,SEARCH(",",'Special Help Table'!$A535)-1)&amp;";"&amp;RIGHT('Special Help Table'!$A535,LEN('Special Help Table'!$A535)-SEARCH(",",'Special Help Table'!$A535,SEARCH(";",'Special Help Table'!$A535)))&amp;" "&amp;MID('Special Help Table'!$A535,SEARCH("; ",'Special Help Table'!$A535)+2,SEARCH(",",'Special Help Table'!$A535,SEARCH(";",'Special Help Table'!$A535))-SEARCH(";",'Special Help Table'!$A535)-2),AND(LEN('Special Help Table'!$A535)-LEN(SUBSTITUTE('Special Help Table'!$A535,"and ",""))=0,LEN('Special Help Table'!$A535)-LEN(SUBSTITUTE('Special Help Table'!$A535,";",""))=0),'Special Help Table'!$A535,AND(LEN('Special Help Table'!$A535)-LEN(SUBSTITUTE('Special Help Table'!$A535,",","")=1),LEN('Special Help Table'!$A535)-LEN(SUBSTITUTE('Special Help Table'!$A535," ","")=20),LEN('Special Help Table'!$A535)-LEN(SUBSTITUTE('Special Help Table'!$A535," and",""))=0,LEN('Special Help Table'!$A535)-LEN(SUBSTITUTE('Special Help Table'!$A535,",","",FIND(" ",'Special Help Table'!$A535)+1))=0),RIGHT('Special Help Table'!$A535,LEN('Special Help Table'!$A535)-FIND(", ",'Special Help Table'!$A535))&amp;" "&amp;LEFT('Special Help Table'!$A535,FIND(",",'Special Help Table'!$A535)-1),AND(LEN('Special Help Table'!$A535)-LEN(SUBSTITUTE('Special Help Table'!$A535,"editor",""))=6,LEN('Special Help Table'!$A535)-LEN(SUBSTITUTE('Special Help Table'!$A535,"(",""))=0,LEN('Special Help Table'!$A535)-LEN(SUBSTITUTE('Special Help Table'!$A535,"and",""))=3,LEN('Special Help Table'!$A535)-LEN(SUBSTITUTE('Special Help Table'!$A535,",",""))=1,LEN('Special Help Table'!$A535)-LEN(SUBSTITUTE('Special Help Table'!$A535," ",""))=3),'Special Help Table'!$A535)</f>
        <v xml:space="preserve"> Ray Ortland</v>
      </c>
      <c r="C535" s="4" t="s">
        <v>1021</v>
      </c>
      <c r="D535" s="2"/>
      <c r="E535" s="2" t="s">
        <v>16</v>
      </c>
      <c r="F535" s="2" t="s">
        <v>76</v>
      </c>
      <c r="G535" s="2" t="s">
        <v>33</v>
      </c>
      <c r="H535" s="2" t="s">
        <v>307</v>
      </c>
      <c r="I535" s="2"/>
      <c r="J535" s="2"/>
      <c r="K535" s="3"/>
      <c r="L535" s="2"/>
      <c r="M535" s="2"/>
      <c r="N535" s="2" t="s">
        <v>18</v>
      </c>
    </row>
    <row r="536" spans="1:14" ht="15.75" customHeight="1" x14ac:dyDescent="0.35">
      <c r="A536" s="2" t="s">
        <v>1020</v>
      </c>
      <c r="B536" s="2" t="str" cm="1">
        <f t="array" ref="B536">_xlfn.IFS(AND(LEN('Special Help Table'!$A536)-(LEN(SUBSTITUTE('Special Help Table'!$A536,";","")))=0,LEN('Special Help Table'!$A536)-LEN(SUBSTITUTE('Special Help Table'!$A536,",",""))=1,LEN('Special Help Table'!$A536)-LEN(SUBSTITUTE('Special Help Table'!$A536,"and ",""))=0),MID('Special Help Table'!$A536&amp;" "&amp;'Special Help Table'!$A536,SEARCH(", ",'Special Help Table'!$A536)+1,LEN('Special Help Table'!$A536)),AND(LEN('Special Help Table'!$A536)-(LEN(SUBSTITUTE('Special Help Table'!$A536,";","")))=1,LEN('Special Help Table'!$A536)-LEN(SUBSTITUTE('Special Help Table'!$A536,"and ",""))=0),MID('Special Help Table'!$A536,SEARCH(",",'Special Help Table'!$A536)+1,(SEARCH(";",'Special Help Table'!$A536)-1)-SEARCH(",",'Special Help Table'!$A536))&amp;" "&amp;LEFT('Special Help Table'!$A536,SEARCH(",",'Special Help Table'!$A536)-1)&amp;";"&amp;RIGHT('Special Help Table'!$A536,LEN('Special Help Table'!$A536)-SEARCH(",",'Special Help Table'!$A536,SEARCH(";",'Special Help Table'!$A536)))&amp;" "&amp;MID('Special Help Table'!$A536,SEARCH("; ",'Special Help Table'!$A536)+2,SEARCH(",",'Special Help Table'!$A536,SEARCH(";",'Special Help Table'!$A536))-SEARCH(";",'Special Help Table'!$A536)-2),AND(LEN('Special Help Table'!$A536)-LEN(SUBSTITUTE('Special Help Table'!$A536,"and ",""))=0,LEN('Special Help Table'!$A536)-LEN(SUBSTITUTE('Special Help Table'!$A536,";",""))=0),'Special Help Table'!$A536,AND(LEN('Special Help Table'!$A536)-LEN(SUBSTITUTE('Special Help Table'!$A536,",","")=1),LEN('Special Help Table'!$A536)-LEN(SUBSTITUTE('Special Help Table'!$A536," ","")=20),LEN('Special Help Table'!$A536)-LEN(SUBSTITUTE('Special Help Table'!$A536," and",""))=0,LEN('Special Help Table'!$A536)-LEN(SUBSTITUTE('Special Help Table'!$A536,",","",FIND(" ",'Special Help Table'!$A536)+1))=0),RIGHT('Special Help Table'!$A536,LEN('Special Help Table'!$A536)-FIND(", ",'Special Help Table'!$A536))&amp;" "&amp;LEFT('Special Help Table'!$A536,FIND(",",'Special Help Table'!$A536)-1),AND(LEN('Special Help Table'!$A536)-LEN(SUBSTITUTE('Special Help Table'!$A536,"editor",""))=6,LEN('Special Help Table'!$A536)-LEN(SUBSTITUTE('Special Help Table'!$A536,"(",""))=0,LEN('Special Help Table'!$A536)-LEN(SUBSTITUTE('Special Help Table'!$A536,"and",""))=3,LEN('Special Help Table'!$A536)-LEN(SUBSTITUTE('Special Help Table'!$A536,",",""))=1,LEN('Special Help Table'!$A536)-LEN(SUBSTITUTE('Special Help Table'!$A536," ",""))=3),'Special Help Table'!$A536)</f>
        <v xml:space="preserve"> Ray Ortland</v>
      </c>
      <c r="C536" s="4" t="s">
        <v>1022</v>
      </c>
      <c r="D536" s="2"/>
      <c r="E536" s="2" t="s">
        <v>16</v>
      </c>
      <c r="F536" s="2" t="s">
        <v>28</v>
      </c>
      <c r="G536" s="2"/>
      <c r="H536" s="2"/>
      <c r="I536" s="2" t="s">
        <v>622</v>
      </c>
      <c r="J536" s="2"/>
      <c r="K536" s="3"/>
      <c r="L536" s="2"/>
      <c r="M536" s="2"/>
      <c r="N536" s="2" t="s">
        <v>18</v>
      </c>
    </row>
    <row r="537" spans="1:14" ht="15.75" customHeight="1" x14ac:dyDescent="0.35">
      <c r="A537" s="2" t="s">
        <v>1023</v>
      </c>
      <c r="B537" s="2" t="str" cm="1">
        <f t="array" ref="B537">_xlfn.IFS(AND(LEN('Special Help Table'!$A537)-(LEN(SUBSTITUTE('Special Help Table'!$A537,";","")))=0,LEN('Special Help Table'!$A537)-LEN(SUBSTITUTE('Special Help Table'!$A537,",",""))=1,LEN('Special Help Table'!$A537)-LEN(SUBSTITUTE('Special Help Table'!$A537,"and ",""))=0),MID('Special Help Table'!$A537&amp;" "&amp;'Special Help Table'!$A537,SEARCH(", ",'Special Help Table'!$A537)+1,LEN('Special Help Table'!$A537)),AND(LEN('Special Help Table'!$A537)-(LEN(SUBSTITUTE('Special Help Table'!$A537,";","")))=1,LEN('Special Help Table'!$A537)-LEN(SUBSTITUTE('Special Help Table'!$A537,"and ",""))=0),MID('Special Help Table'!$A537,SEARCH(",",'Special Help Table'!$A537)+1,(SEARCH(";",'Special Help Table'!$A537)-1)-SEARCH(",",'Special Help Table'!$A537))&amp;" "&amp;LEFT('Special Help Table'!$A537,SEARCH(",",'Special Help Table'!$A537)-1)&amp;";"&amp;RIGHT('Special Help Table'!$A537,LEN('Special Help Table'!$A537)-SEARCH(",",'Special Help Table'!$A537,SEARCH(";",'Special Help Table'!$A537)))&amp;" "&amp;MID('Special Help Table'!$A537,SEARCH("; ",'Special Help Table'!$A537)+2,SEARCH(",",'Special Help Table'!$A537,SEARCH(";",'Special Help Table'!$A537))-SEARCH(";",'Special Help Table'!$A537)-2),AND(LEN('Special Help Table'!$A537)-LEN(SUBSTITUTE('Special Help Table'!$A537,"and ",""))=0,LEN('Special Help Table'!$A537)-LEN(SUBSTITUTE('Special Help Table'!$A537,";",""))=0),'Special Help Table'!$A537,AND(LEN('Special Help Table'!$A537)-LEN(SUBSTITUTE('Special Help Table'!$A537,",","")=1),LEN('Special Help Table'!$A537)-LEN(SUBSTITUTE('Special Help Table'!$A537," ","")=20),LEN('Special Help Table'!$A537)-LEN(SUBSTITUTE('Special Help Table'!$A537," and",""))=0,LEN('Special Help Table'!$A537)-LEN(SUBSTITUTE('Special Help Table'!$A537,",","",FIND(" ",'Special Help Table'!$A537)+1))=0),RIGHT('Special Help Table'!$A537,LEN('Special Help Table'!$A537)-FIND(", ",'Special Help Table'!$A537))&amp;" "&amp;LEFT('Special Help Table'!$A537,FIND(",",'Special Help Table'!$A537)-1),AND(LEN('Special Help Table'!$A537)-LEN(SUBSTITUTE('Special Help Table'!$A537,"editor",""))=6,LEN('Special Help Table'!$A537)-LEN(SUBSTITUTE('Special Help Table'!$A537,"(",""))=0,LEN('Special Help Table'!$A537)-LEN(SUBSTITUTE('Special Help Table'!$A537,"and",""))=3,LEN('Special Help Table'!$A537)-LEN(SUBSTITUTE('Special Help Table'!$A537,",",""))=1,LEN('Special Help Table'!$A537)-LEN(SUBSTITUTE('Special Help Table'!$A537," ",""))=3),'Special Help Table'!$A537)</f>
        <v xml:space="preserve"> Dane Ortlund</v>
      </c>
      <c r="C537" s="4" t="s">
        <v>1024</v>
      </c>
      <c r="D537" s="2"/>
      <c r="E537" s="2" t="s">
        <v>16</v>
      </c>
      <c r="F537" s="2" t="s">
        <v>28</v>
      </c>
      <c r="G537" s="2"/>
      <c r="H537" s="2"/>
      <c r="I537" s="2"/>
      <c r="J537" s="2" t="s">
        <v>1025</v>
      </c>
      <c r="K537" s="3">
        <v>44044</v>
      </c>
      <c r="L537" s="2"/>
      <c r="M537" s="2"/>
      <c r="N537" s="2" t="s">
        <v>18</v>
      </c>
    </row>
    <row r="538" spans="1:14" ht="15.75" customHeight="1" x14ac:dyDescent="0.35">
      <c r="A538" s="2" t="s">
        <v>1026</v>
      </c>
      <c r="B538" s="2" t="str" cm="1">
        <f t="array" ref="B538">_xlfn.IFS(AND(LEN('Special Help Table'!$A538)-(LEN(SUBSTITUTE('Special Help Table'!$A538,";","")))=0,LEN('Special Help Table'!$A538)-LEN(SUBSTITUTE('Special Help Table'!$A538,",",""))=1,LEN('Special Help Table'!$A538)-LEN(SUBSTITUTE('Special Help Table'!$A538,"and ",""))=0),MID('Special Help Table'!$A538&amp;" "&amp;'Special Help Table'!$A538,SEARCH(", ",'Special Help Table'!$A538)+1,LEN('Special Help Table'!$A538)),AND(LEN('Special Help Table'!$A538)-(LEN(SUBSTITUTE('Special Help Table'!$A538,";","")))=1,LEN('Special Help Table'!$A538)-LEN(SUBSTITUTE('Special Help Table'!$A538,"and ",""))=0),MID('Special Help Table'!$A538,SEARCH(",",'Special Help Table'!$A538)+1,(SEARCH(";",'Special Help Table'!$A538)-1)-SEARCH(",",'Special Help Table'!$A538))&amp;" "&amp;LEFT('Special Help Table'!$A538,SEARCH(",",'Special Help Table'!$A538)-1)&amp;";"&amp;RIGHT('Special Help Table'!$A538,LEN('Special Help Table'!$A538)-SEARCH(",",'Special Help Table'!$A538,SEARCH(";",'Special Help Table'!$A538)))&amp;" "&amp;MID('Special Help Table'!$A538,SEARCH("; ",'Special Help Table'!$A538)+2,SEARCH(",",'Special Help Table'!$A538,SEARCH(";",'Special Help Table'!$A538))-SEARCH(";",'Special Help Table'!$A538)-2),AND(LEN('Special Help Table'!$A538)-LEN(SUBSTITUTE('Special Help Table'!$A538,"and ",""))=0,LEN('Special Help Table'!$A538)-LEN(SUBSTITUTE('Special Help Table'!$A538,";",""))=0),'Special Help Table'!$A538,AND(LEN('Special Help Table'!$A538)-LEN(SUBSTITUTE('Special Help Table'!$A538,",","")=1),LEN('Special Help Table'!$A538)-LEN(SUBSTITUTE('Special Help Table'!$A538," ","")=20),LEN('Special Help Table'!$A538)-LEN(SUBSTITUTE('Special Help Table'!$A538," and",""))=0,LEN('Special Help Table'!$A538)-LEN(SUBSTITUTE('Special Help Table'!$A538,",","",FIND(" ",'Special Help Table'!$A538)+1))=0),RIGHT('Special Help Table'!$A538,LEN('Special Help Table'!$A538)-FIND(", ",'Special Help Table'!$A538))&amp;" "&amp;LEFT('Special Help Table'!$A538,FIND(",",'Special Help Table'!$A538)-1),AND(LEN('Special Help Table'!$A538)-LEN(SUBSTITUTE('Special Help Table'!$A538,"editor",""))=6,LEN('Special Help Table'!$A538)-LEN(SUBSTITUTE('Special Help Table'!$A538,"(",""))=0,LEN('Special Help Table'!$A538)-LEN(SUBSTITUTE('Special Help Table'!$A538,"and",""))=3,LEN('Special Help Table'!$A538)-LEN(SUBSTITUTE('Special Help Table'!$A538,",",""))=1,LEN('Special Help Table'!$A538)-LEN(SUBSTITUTE('Special Help Table'!$A538," ",""))=3),'Special Help Table'!$A538)</f>
        <v xml:space="preserve"> Gavin Ortlund</v>
      </c>
      <c r="C538" s="4" t="s">
        <v>1027</v>
      </c>
      <c r="D538" s="2"/>
      <c r="E538" s="2" t="s">
        <v>16</v>
      </c>
      <c r="F538" s="2" t="s">
        <v>28</v>
      </c>
      <c r="G538" s="2"/>
      <c r="H538" s="2"/>
      <c r="I538" s="2"/>
      <c r="J538" s="2"/>
      <c r="K538" s="3">
        <v>44044</v>
      </c>
      <c r="L538" s="2"/>
      <c r="M538" s="2"/>
      <c r="N538" s="2" t="s">
        <v>18</v>
      </c>
    </row>
    <row r="539" spans="1:14" ht="15.75" customHeight="1" x14ac:dyDescent="0.35">
      <c r="A539" s="2" t="s">
        <v>1028</v>
      </c>
      <c r="B539" s="2" t="str" cm="1">
        <f t="array" ref="B539">_xlfn.IFS(AND(LEN('Special Help Table'!$A539)-(LEN(SUBSTITUTE('Special Help Table'!$A539,";","")))=0,LEN('Special Help Table'!$A539)-LEN(SUBSTITUTE('Special Help Table'!$A539,",",""))=1,LEN('Special Help Table'!$A539)-LEN(SUBSTITUTE('Special Help Table'!$A539,"and ",""))=0),MID('Special Help Table'!$A539&amp;" "&amp;'Special Help Table'!$A539,SEARCH(", ",'Special Help Table'!$A539)+1,LEN('Special Help Table'!$A539)),AND(LEN('Special Help Table'!$A539)-(LEN(SUBSTITUTE('Special Help Table'!$A539,";","")))=1,LEN('Special Help Table'!$A539)-LEN(SUBSTITUTE('Special Help Table'!$A539,"and ",""))=0),MID('Special Help Table'!$A539,SEARCH(",",'Special Help Table'!$A539)+1,(SEARCH(";",'Special Help Table'!$A539)-1)-SEARCH(",",'Special Help Table'!$A539))&amp;" "&amp;LEFT('Special Help Table'!$A539,SEARCH(",",'Special Help Table'!$A539)-1)&amp;";"&amp;RIGHT('Special Help Table'!$A539,LEN('Special Help Table'!$A539)-SEARCH(",",'Special Help Table'!$A539,SEARCH(";",'Special Help Table'!$A539)))&amp;" "&amp;MID('Special Help Table'!$A539,SEARCH("; ",'Special Help Table'!$A539)+2,SEARCH(",",'Special Help Table'!$A539,SEARCH(";",'Special Help Table'!$A539))-SEARCH(";",'Special Help Table'!$A539)-2),AND(LEN('Special Help Table'!$A539)-LEN(SUBSTITUTE('Special Help Table'!$A539,"and ",""))=0,LEN('Special Help Table'!$A539)-LEN(SUBSTITUTE('Special Help Table'!$A539,";",""))=0),'Special Help Table'!$A539,AND(LEN('Special Help Table'!$A539)-LEN(SUBSTITUTE('Special Help Table'!$A539,",","")=1),LEN('Special Help Table'!$A539)-LEN(SUBSTITUTE('Special Help Table'!$A539," ","")=20),LEN('Special Help Table'!$A539)-LEN(SUBSTITUTE('Special Help Table'!$A539," and",""))=0,LEN('Special Help Table'!$A539)-LEN(SUBSTITUTE('Special Help Table'!$A539,",","",FIND(" ",'Special Help Table'!$A539)+1))=0),RIGHT('Special Help Table'!$A539,LEN('Special Help Table'!$A539)-FIND(", ",'Special Help Table'!$A539))&amp;" "&amp;LEFT('Special Help Table'!$A539,FIND(",",'Special Help Table'!$A539)-1),AND(LEN('Special Help Table'!$A539)-LEN(SUBSTITUTE('Special Help Table'!$A539,"editor",""))=6,LEN('Special Help Table'!$A539)-LEN(SUBSTITUTE('Special Help Table'!$A539,"(",""))=0,LEN('Special Help Table'!$A539)-LEN(SUBSTITUTE('Special Help Table'!$A539,"and",""))=3,LEN('Special Help Table'!$A539)-LEN(SUBSTITUTE('Special Help Table'!$A539,",",""))=1,LEN('Special Help Table'!$A539)-LEN(SUBSTITUTE('Special Help Table'!$A539," ",""))=3),'Special Help Table'!$A539)</f>
        <v xml:space="preserve"> Jen Oshman</v>
      </c>
      <c r="C539" s="4" t="s">
        <v>1029</v>
      </c>
      <c r="D539" s="2"/>
      <c r="E539" s="2" t="s">
        <v>16</v>
      </c>
      <c r="F539" s="2" t="s">
        <v>36</v>
      </c>
      <c r="G539" s="2"/>
      <c r="H539" s="2"/>
      <c r="I539" s="2"/>
      <c r="J539" s="2" t="s">
        <v>1030</v>
      </c>
      <c r="K539" s="3">
        <v>44178</v>
      </c>
      <c r="L539" s="2"/>
      <c r="M539" s="2"/>
      <c r="N539" s="2" t="s">
        <v>18</v>
      </c>
    </row>
    <row r="540" spans="1:14" ht="15.75" customHeight="1" x14ac:dyDescent="0.35">
      <c r="A540" s="2" t="s">
        <v>1031</v>
      </c>
      <c r="B540" s="2" t="str" cm="1">
        <f t="array" ref="B540">_xlfn.IFS(AND(LEN('Special Help Table'!$A540)-(LEN(SUBSTITUTE('Special Help Table'!$A540,";","")))=0,LEN('Special Help Table'!$A540)-LEN(SUBSTITUTE('Special Help Table'!$A540,",",""))=1,LEN('Special Help Table'!$A540)-LEN(SUBSTITUTE('Special Help Table'!$A540,"and ",""))=0),MID('Special Help Table'!$A540&amp;" "&amp;'Special Help Table'!$A540,SEARCH(", ",'Special Help Table'!$A540)+1,LEN('Special Help Table'!$A540)),AND(LEN('Special Help Table'!$A540)-(LEN(SUBSTITUTE('Special Help Table'!$A540,";","")))=1,LEN('Special Help Table'!$A540)-LEN(SUBSTITUTE('Special Help Table'!$A540,"and ",""))=0),MID('Special Help Table'!$A540,SEARCH(",",'Special Help Table'!$A540)+1,(SEARCH(";",'Special Help Table'!$A540)-1)-SEARCH(",",'Special Help Table'!$A540))&amp;" "&amp;LEFT('Special Help Table'!$A540,SEARCH(",",'Special Help Table'!$A540)-1)&amp;";"&amp;RIGHT('Special Help Table'!$A540,LEN('Special Help Table'!$A540)-SEARCH(",",'Special Help Table'!$A540,SEARCH(";",'Special Help Table'!$A540)))&amp;" "&amp;MID('Special Help Table'!$A540,SEARCH("; ",'Special Help Table'!$A540)+2,SEARCH(",",'Special Help Table'!$A540,SEARCH(";",'Special Help Table'!$A540))-SEARCH(";",'Special Help Table'!$A540)-2),AND(LEN('Special Help Table'!$A540)-LEN(SUBSTITUTE('Special Help Table'!$A540,"and ",""))=0,LEN('Special Help Table'!$A540)-LEN(SUBSTITUTE('Special Help Table'!$A540,";",""))=0),'Special Help Table'!$A540,AND(LEN('Special Help Table'!$A540)-LEN(SUBSTITUTE('Special Help Table'!$A540,",","")=1),LEN('Special Help Table'!$A540)-LEN(SUBSTITUTE('Special Help Table'!$A540," ","")=20),LEN('Special Help Table'!$A540)-LEN(SUBSTITUTE('Special Help Table'!$A540," and",""))=0,LEN('Special Help Table'!$A540)-LEN(SUBSTITUTE('Special Help Table'!$A540,",","",FIND(" ",'Special Help Table'!$A540)+1))=0),RIGHT('Special Help Table'!$A540,LEN('Special Help Table'!$A540)-FIND(", ",'Special Help Table'!$A540))&amp;" "&amp;LEFT('Special Help Table'!$A540,FIND(",",'Special Help Table'!$A540)-1),AND(LEN('Special Help Table'!$A540)-LEN(SUBSTITUTE('Special Help Table'!$A540,"editor",""))=6,LEN('Special Help Table'!$A540)-LEN(SUBSTITUTE('Special Help Table'!$A540,"(",""))=0,LEN('Special Help Table'!$A540)-LEN(SUBSTITUTE('Special Help Table'!$A540,"and",""))=3,LEN('Special Help Table'!$A540)-LEN(SUBSTITUTE('Special Help Table'!$A540,",",""))=1,LEN('Special Help Table'!$A540)-LEN(SUBSTITUTE('Special Help Table'!$A540," ",""))=3),'Special Help Table'!$A540)</f>
        <v xml:space="preserve"> Jim Osman</v>
      </c>
      <c r="C540" s="4" t="s">
        <v>1032</v>
      </c>
      <c r="D540" s="2"/>
      <c r="E540" s="2" t="s">
        <v>16</v>
      </c>
      <c r="F540" s="2" t="s">
        <v>36</v>
      </c>
      <c r="G540" s="2"/>
      <c r="H540" s="2"/>
      <c r="I540" s="2"/>
      <c r="J540" s="2" t="s">
        <v>164</v>
      </c>
      <c r="K540" s="3">
        <v>44772</v>
      </c>
      <c r="L540" s="2"/>
      <c r="M540" s="2"/>
      <c r="N540" s="2" t="s">
        <v>18</v>
      </c>
    </row>
    <row r="541" spans="1:14" ht="15.75" customHeight="1" x14ac:dyDescent="0.35">
      <c r="A541" s="2" t="s">
        <v>1033</v>
      </c>
      <c r="B541" s="2" t="str" cm="1">
        <f t="array" ref="B541">_xlfn.IFS(AND(LEN('Special Help Table'!$A541)-(LEN(SUBSTITUTE('Special Help Table'!$A541,";","")))=0,LEN('Special Help Table'!$A541)-LEN(SUBSTITUTE('Special Help Table'!$A541,",",""))=1,LEN('Special Help Table'!$A541)-LEN(SUBSTITUTE('Special Help Table'!$A541,"and ",""))=0),MID('Special Help Table'!$A541&amp;" "&amp;'Special Help Table'!$A541,SEARCH(", ",'Special Help Table'!$A541)+1,LEN('Special Help Table'!$A541)),AND(LEN('Special Help Table'!$A541)-(LEN(SUBSTITUTE('Special Help Table'!$A541,";","")))=1,LEN('Special Help Table'!$A541)-LEN(SUBSTITUTE('Special Help Table'!$A541,"and ",""))=0),MID('Special Help Table'!$A541,SEARCH(",",'Special Help Table'!$A541)+1,(SEARCH(";",'Special Help Table'!$A541)-1)-SEARCH(",",'Special Help Table'!$A541))&amp;" "&amp;LEFT('Special Help Table'!$A541,SEARCH(",",'Special Help Table'!$A541)-1)&amp;";"&amp;RIGHT('Special Help Table'!$A541,LEN('Special Help Table'!$A541)-SEARCH(",",'Special Help Table'!$A541,SEARCH(";",'Special Help Table'!$A541)))&amp;" "&amp;MID('Special Help Table'!$A541,SEARCH("; ",'Special Help Table'!$A541)+2,SEARCH(",",'Special Help Table'!$A541,SEARCH(";",'Special Help Table'!$A541))-SEARCH(";",'Special Help Table'!$A541)-2),AND(LEN('Special Help Table'!$A541)-LEN(SUBSTITUTE('Special Help Table'!$A541,"and ",""))=0,LEN('Special Help Table'!$A541)-LEN(SUBSTITUTE('Special Help Table'!$A541,";",""))=0),'Special Help Table'!$A541,AND(LEN('Special Help Table'!$A541)-LEN(SUBSTITUTE('Special Help Table'!$A541,",","")=1),LEN('Special Help Table'!$A541)-LEN(SUBSTITUTE('Special Help Table'!$A541," ","")=20),LEN('Special Help Table'!$A541)-LEN(SUBSTITUTE('Special Help Table'!$A541," and",""))=0,LEN('Special Help Table'!$A541)-LEN(SUBSTITUTE('Special Help Table'!$A541,",","",FIND(" ",'Special Help Table'!$A541)+1))=0),RIGHT('Special Help Table'!$A541,LEN('Special Help Table'!$A541)-FIND(", ",'Special Help Table'!$A541))&amp;" "&amp;LEFT('Special Help Table'!$A541,FIND(",",'Special Help Table'!$A541)-1),AND(LEN('Special Help Table'!$A541)-LEN(SUBSTITUTE('Special Help Table'!$A541,"editor",""))=6,LEN('Special Help Table'!$A541)-LEN(SUBSTITUTE('Special Help Table'!$A541,"(",""))=0,LEN('Special Help Table'!$A541)-LEN(SUBSTITUTE('Special Help Table'!$A541,"and",""))=3,LEN('Special Help Table'!$A541)-LEN(SUBSTITUTE('Special Help Table'!$A541,",",""))=1,LEN('Special Help Table'!$A541)-LEN(SUBSTITUTE('Special Help Table'!$A541," ",""))=3),'Special Help Table'!$A541)</f>
        <v xml:space="preserve"> John Owen</v>
      </c>
      <c r="C541" s="4" t="s">
        <v>1034</v>
      </c>
      <c r="D541" s="2"/>
      <c r="E541" s="2" t="s">
        <v>16</v>
      </c>
      <c r="F541" s="2" t="s">
        <v>36</v>
      </c>
      <c r="G541" s="2"/>
      <c r="H541" s="2" t="s">
        <v>82</v>
      </c>
      <c r="I541" s="2"/>
      <c r="J541" s="2"/>
      <c r="K541" s="3">
        <v>42705</v>
      </c>
      <c r="L541" s="2"/>
      <c r="M541" s="2"/>
      <c r="N541" s="2" t="s">
        <v>18</v>
      </c>
    </row>
    <row r="542" spans="1:14" ht="15.75" customHeight="1" x14ac:dyDescent="0.35">
      <c r="A542" s="2" t="s">
        <v>1035</v>
      </c>
      <c r="B542" s="2" t="str" cm="1">
        <f t="array" ref="B542">_xlfn.IFS(AND(LEN('Special Help Table'!$A542)-(LEN(SUBSTITUTE('Special Help Table'!$A542,";","")))=0,LEN('Special Help Table'!$A542)-LEN(SUBSTITUTE('Special Help Table'!$A542,",",""))=1,LEN('Special Help Table'!$A542)-LEN(SUBSTITUTE('Special Help Table'!$A542,"and ",""))=0),MID('Special Help Table'!$A542&amp;" "&amp;'Special Help Table'!$A542,SEARCH(", ",'Special Help Table'!$A542)+1,LEN('Special Help Table'!$A542)),AND(LEN('Special Help Table'!$A542)-(LEN(SUBSTITUTE('Special Help Table'!$A542,";","")))=1,LEN('Special Help Table'!$A542)-LEN(SUBSTITUTE('Special Help Table'!$A542,"and ",""))=0),MID('Special Help Table'!$A542,SEARCH(",",'Special Help Table'!$A542)+1,(SEARCH(";",'Special Help Table'!$A542)-1)-SEARCH(",",'Special Help Table'!$A542))&amp;" "&amp;LEFT('Special Help Table'!$A542,SEARCH(",",'Special Help Table'!$A542)-1)&amp;";"&amp;RIGHT('Special Help Table'!$A542,LEN('Special Help Table'!$A542)-SEARCH(",",'Special Help Table'!$A542,SEARCH(";",'Special Help Table'!$A542)))&amp;" "&amp;MID('Special Help Table'!$A542,SEARCH("; ",'Special Help Table'!$A542)+2,SEARCH(",",'Special Help Table'!$A542,SEARCH(";",'Special Help Table'!$A542))-SEARCH(";",'Special Help Table'!$A542)-2),AND(LEN('Special Help Table'!$A542)-LEN(SUBSTITUTE('Special Help Table'!$A542,"and ",""))=0,LEN('Special Help Table'!$A542)-LEN(SUBSTITUTE('Special Help Table'!$A542,";",""))=0),'Special Help Table'!$A542,AND(LEN('Special Help Table'!$A542)-LEN(SUBSTITUTE('Special Help Table'!$A542,",","")=1),LEN('Special Help Table'!$A542)-LEN(SUBSTITUTE('Special Help Table'!$A542," ","")=20),LEN('Special Help Table'!$A542)-LEN(SUBSTITUTE('Special Help Table'!$A542," and",""))=0,LEN('Special Help Table'!$A542)-LEN(SUBSTITUTE('Special Help Table'!$A542,",","",FIND(" ",'Special Help Table'!$A542)+1))=0),RIGHT('Special Help Table'!$A542,LEN('Special Help Table'!$A542)-FIND(", ",'Special Help Table'!$A542))&amp;" "&amp;LEFT('Special Help Table'!$A542,FIND(",",'Special Help Table'!$A542)-1),AND(LEN('Special Help Table'!$A542)-LEN(SUBSTITUTE('Special Help Table'!$A542,"editor",""))=6,LEN('Special Help Table'!$A542)-LEN(SUBSTITUTE('Special Help Table'!$A542,"(",""))=0,LEN('Special Help Table'!$A542)-LEN(SUBSTITUTE('Special Help Table'!$A542,"and",""))=3,LEN('Special Help Table'!$A542)-LEN(SUBSTITUTE('Special Help Table'!$A542,",",""))=1,LEN('Special Help Table'!$A542)-LEN(SUBSTITUTE('Special Help Table'!$A542," ",""))=3),'Special Help Table'!$A542)</f>
        <v xml:space="preserve"> H. Dale Oxley</v>
      </c>
      <c r="C542" s="4" t="s">
        <v>1036</v>
      </c>
      <c r="D542" s="2"/>
      <c r="E542" s="2" t="s">
        <v>16</v>
      </c>
      <c r="F542" s="2" t="s">
        <v>39</v>
      </c>
      <c r="G542" s="2"/>
      <c r="H542" s="2"/>
      <c r="I542" s="2"/>
      <c r="J542" s="2"/>
      <c r="K542" s="3">
        <v>40613</v>
      </c>
      <c r="L542" s="2"/>
      <c r="M542" s="2"/>
      <c r="N542" s="2" t="s">
        <v>18</v>
      </c>
    </row>
    <row r="543" spans="1:14" ht="15.75" customHeight="1" x14ac:dyDescent="0.35">
      <c r="A543" s="2" t="s">
        <v>1037</v>
      </c>
      <c r="B543" s="2" t="str" cm="1">
        <f t="array" ref="B543">_xlfn.IFS(AND(LEN('Special Help Table'!$A543)-(LEN(SUBSTITUTE('Special Help Table'!$A543,";","")))=0,LEN('Special Help Table'!$A543)-LEN(SUBSTITUTE('Special Help Table'!$A543,",",""))=1,LEN('Special Help Table'!$A543)-LEN(SUBSTITUTE('Special Help Table'!$A543,"and ",""))=0),MID('Special Help Table'!$A543&amp;" "&amp;'Special Help Table'!$A543,SEARCH(", ",'Special Help Table'!$A543)+1,LEN('Special Help Table'!$A543)),AND(LEN('Special Help Table'!$A543)-(LEN(SUBSTITUTE('Special Help Table'!$A543,";","")))=1,LEN('Special Help Table'!$A543)-LEN(SUBSTITUTE('Special Help Table'!$A543,"and ",""))=0),MID('Special Help Table'!$A543,SEARCH(",",'Special Help Table'!$A543)+1,(SEARCH(";",'Special Help Table'!$A543)-1)-SEARCH(",",'Special Help Table'!$A543))&amp;" "&amp;LEFT('Special Help Table'!$A543,SEARCH(",",'Special Help Table'!$A543)-1)&amp;";"&amp;RIGHT('Special Help Table'!$A543,LEN('Special Help Table'!$A543)-SEARCH(",",'Special Help Table'!$A543,SEARCH(";",'Special Help Table'!$A543)))&amp;" "&amp;MID('Special Help Table'!$A543,SEARCH("; ",'Special Help Table'!$A543)+2,SEARCH(",",'Special Help Table'!$A543,SEARCH(";",'Special Help Table'!$A543))-SEARCH(";",'Special Help Table'!$A543)-2),AND(LEN('Special Help Table'!$A543)-LEN(SUBSTITUTE('Special Help Table'!$A543,"and ",""))=0,LEN('Special Help Table'!$A543)-LEN(SUBSTITUTE('Special Help Table'!$A543,";",""))=0),'Special Help Table'!$A543,AND(LEN('Special Help Table'!$A543)-LEN(SUBSTITUTE('Special Help Table'!$A543,",","")=1),LEN('Special Help Table'!$A543)-LEN(SUBSTITUTE('Special Help Table'!$A543," ","")=20),LEN('Special Help Table'!$A543)-LEN(SUBSTITUTE('Special Help Table'!$A543," and",""))=0,LEN('Special Help Table'!$A543)-LEN(SUBSTITUTE('Special Help Table'!$A543,",","",FIND(" ",'Special Help Table'!$A543)+1))=0),RIGHT('Special Help Table'!$A543,LEN('Special Help Table'!$A543)-FIND(", ",'Special Help Table'!$A543))&amp;" "&amp;LEFT('Special Help Table'!$A543,FIND(",",'Special Help Table'!$A543)-1),AND(LEN('Special Help Table'!$A543)-LEN(SUBSTITUTE('Special Help Table'!$A543,"editor",""))=6,LEN('Special Help Table'!$A543)-LEN(SUBSTITUTE('Special Help Table'!$A543,"(",""))=0,LEN('Special Help Table'!$A543)-LEN(SUBSTITUTE('Special Help Table'!$A543,"and",""))=3,LEN('Special Help Table'!$A543)-LEN(SUBSTITUTE('Special Help Table'!$A543,",",""))=1,LEN('Special Help Table'!$A543)-LEN(SUBSTITUTE('Special Help Table'!$A543," ",""))=3),'Special Help Table'!$A543)</f>
        <v xml:space="preserve"> J. I. Packer</v>
      </c>
      <c r="C543" s="4" t="s">
        <v>1038</v>
      </c>
      <c r="D543" s="2"/>
      <c r="E543" s="2" t="s">
        <v>16</v>
      </c>
      <c r="F543" s="2" t="s">
        <v>126</v>
      </c>
      <c r="G543" s="2"/>
      <c r="H543" s="2"/>
      <c r="I543" s="2"/>
      <c r="J543" s="2" t="s">
        <v>359</v>
      </c>
      <c r="K543" s="3">
        <v>40047</v>
      </c>
      <c r="L543" s="2"/>
      <c r="M543" s="2"/>
      <c r="N543" s="2" t="s">
        <v>18</v>
      </c>
    </row>
    <row r="544" spans="1:14" ht="15.75" customHeight="1" x14ac:dyDescent="0.35">
      <c r="A544" s="2" t="s">
        <v>1037</v>
      </c>
      <c r="B544" s="2" t="str" cm="1">
        <f t="array" ref="B544">_xlfn.IFS(AND(LEN('Special Help Table'!$A544)-(LEN(SUBSTITUTE('Special Help Table'!$A544,";","")))=0,LEN('Special Help Table'!$A544)-LEN(SUBSTITUTE('Special Help Table'!$A544,",",""))=1,LEN('Special Help Table'!$A544)-LEN(SUBSTITUTE('Special Help Table'!$A544,"and ",""))=0),MID('Special Help Table'!$A544&amp;" "&amp;'Special Help Table'!$A544,SEARCH(", ",'Special Help Table'!$A544)+1,LEN('Special Help Table'!$A544)),AND(LEN('Special Help Table'!$A544)-(LEN(SUBSTITUTE('Special Help Table'!$A544,";","")))=1,LEN('Special Help Table'!$A544)-LEN(SUBSTITUTE('Special Help Table'!$A544,"and ",""))=0),MID('Special Help Table'!$A544,SEARCH(",",'Special Help Table'!$A544)+1,(SEARCH(";",'Special Help Table'!$A544)-1)-SEARCH(",",'Special Help Table'!$A544))&amp;" "&amp;LEFT('Special Help Table'!$A544,SEARCH(",",'Special Help Table'!$A544)-1)&amp;";"&amp;RIGHT('Special Help Table'!$A544,LEN('Special Help Table'!$A544)-SEARCH(",",'Special Help Table'!$A544,SEARCH(";",'Special Help Table'!$A544)))&amp;" "&amp;MID('Special Help Table'!$A544,SEARCH("; ",'Special Help Table'!$A544)+2,SEARCH(",",'Special Help Table'!$A544,SEARCH(";",'Special Help Table'!$A544))-SEARCH(";",'Special Help Table'!$A544)-2),AND(LEN('Special Help Table'!$A544)-LEN(SUBSTITUTE('Special Help Table'!$A544,"and ",""))=0,LEN('Special Help Table'!$A544)-LEN(SUBSTITUTE('Special Help Table'!$A544,";",""))=0),'Special Help Table'!$A544,AND(LEN('Special Help Table'!$A544)-LEN(SUBSTITUTE('Special Help Table'!$A544,",","")=1),LEN('Special Help Table'!$A544)-LEN(SUBSTITUTE('Special Help Table'!$A544," ","")=20),LEN('Special Help Table'!$A544)-LEN(SUBSTITUTE('Special Help Table'!$A544," and",""))=0,LEN('Special Help Table'!$A544)-LEN(SUBSTITUTE('Special Help Table'!$A544,",","",FIND(" ",'Special Help Table'!$A544)+1))=0),RIGHT('Special Help Table'!$A544,LEN('Special Help Table'!$A544)-FIND(", ",'Special Help Table'!$A544))&amp;" "&amp;LEFT('Special Help Table'!$A544,FIND(",",'Special Help Table'!$A544)-1),AND(LEN('Special Help Table'!$A544)-LEN(SUBSTITUTE('Special Help Table'!$A544,"editor",""))=6,LEN('Special Help Table'!$A544)-LEN(SUBSTITUTE('Special Help Table'!$A544,"(",""))=0,LEN('Special Help Table'!$A544)-LEN(SUBSTITUTE('Special Help Table'!$A544,"and",""))=3,LEN('Special Help Table'!$A544)-LEN(SUBSTITUTE('Special Help Table'!$A544,",",""))=1,LEN('Special Help Table'!$A544)-LEN(SUBSTITUTE('Special Help Table'!$A544," ",""))=3),'Special Help Table'!$A544)</f>
        <v xml:space="preserve"> J. I. Packer</v>
      </c>
      <c r="C544" s="4" t="s">
        <v>1039</v>
      </c>
      <c r="D544" s="2"/>
      <c r="E544" s="2" t="s">
        <v>16</v>
      </c>
      <c r="F544" s="2" t="s">
        <v>39</v>
      </c>
      <c r="G544" s="2"/>
      <c r="H544" s="2"/>
      <c r="I544" s="2"/>
      <c r="J544" s="2"/>
      <c r="K544" s="3">
        <v>40048</v>
      </c>
      <c r="L544" s="2"/>
      <c r="M544" s="2"/>
      <c r="N544" s="2" t="s">
        <v>18</v>
      </c>
    </row>
    <row r="545" spans="1:14" ht="15.75" customHeight="1" x14ac:dyDescent="0.35">
      <c r="A545" s="2" t="s">
        <v>1037</v>
      </c>
      <c r="B545" s="2" t="str" cm="1">
        <f t="array" ref="B545">_xlfn.IFS(AND(LEN('Special Help Table'!$A545)-(LEN(SUBSTITUTE('Special Help Table'!$A545,";","")))=0,LEN('Special Help Table'!$A545)-LEN(SUBSTITUTE('Special Help Table'!$A545,",",""))=1,LEN('Special Help Table'!$A545)-LEN(SUBSTITUTE('Special Help Table'!$A545,"and ",""))=0),MID('Special Help Table'!$A545&amp;" "&amp;'Special Help Table'!$A545,SEARCH(", ",'Special Help Table'!$A545)+1,LEN('Special Help Table'!$A545)),AND(LEN('Special Help Table'!$A545)-(LEN(SUBSTITUTE('Special Help Table'!$A545,";","")))=1,LEN('Special Help Table'!$A545)-LEN(SUBSTITUTE('Special Help Table'!$A545,"and ",""))=0),MID('Special Help Table'!$A545,SEARCH(",",'Special Help Table'!$A545)+1,(SEARCH(";",'Special Help Table'!$A545)-1)-SEARCH(",",'Special Help Table'!$A545))&amp;" "&amp;LEFT('Special Help Table'!$A545,SEARCH(",",'Special Help Table'!$A545)-1)&amp;";"&amp;RIGHT('Special Help Table'!$A545,LEN('Special Help Table'!$A545)-SEARCH(",",'Special Help Table'!$A545,SEARCH(";",'Special Help Table'!$A545)))&amp;" "&amp;MID('Special Help Table'!$A545,SEARCH("; ",'Special Help Table'!$A545)+2,SEARCH(",",'Special Help Table'!$A545,SEARCH(";",'Special Help Table'!$A545))-SEARCH(";",'Special Help Table'!$A545)-2),AND(LEN('Special Help Table'!$A545)-LEN(SUBSTITUTE('Special Help Table'!$A545,"and ",""))=0,LEN('Special Help Table'!$A545)-LEN(SUBSTITUTE('Special Help Table'!$A545,";",""))=0),'Special Help Table'!$A545,AND(LEN('Special Help Table'!$A545)-LEN(SUBSTITUTE('Special Help Table'!$A545,",","")=1),LEN('Special Help Table'!$A545)-LEN(SUBSTITUTE('Special Help Table'!$A545," ","")=20),LEN('Special Help Table'!$A545)-LEN(SUBSTITUTE('Special Help Table'!$A545," and",""))=0,LEN('Special Help Table'!$A545)-LEN(SUBSTITUTE('Special Help Table'!$A545,",","",FIND(" ",'Special Help Table'!$A545)+1))=0),RIGHT('Special Help Table'!$A545,LEN('Special Help Table'!$A545)-FIND(", ",'Special Help Table'!$A545))&amp;" "&amp;LEFT('Special Help Table'!$A545,FIND(",",'Special Help Table'!$A545)-1),AND(LEN('Special Help Table'!$A545)-LEN(SUBSTITUTE('Special Help Table'!$A545,"editor",""))=6,LEN('Special Help Table'!$A545)-LEN(SUBSTITUTE('Special Help Table'!$A545,"(",""))=0,LEN('Special Help Table'!$A545)-LEN(SUBSTITUTE('Special Help Table'!$A545,"and",""))=3,LEN('Special Help Table'!$A545)-LEN(SUBSTITUTE('Special Help Table'!$A545,",",""))=1,LEN('Special Help Table'!$A545)-LEN(SUBSTITUTE('Special Help Table'!$A545," ",""))=3),'Special Help Table'!$A545)</f>
        <v xml:space="preserve"> J. I. Packer</v>
      </c>
      <c r="C545" s="4" t="s">
        <v>1040</v>
      </c>
      <c r="D545" s="2"/>
      <c r="E545" s="2" t="s">
        <v>16</v>
      </c>
      <c r="F545" s="2" t="s">
        <v>76</v>
      </c>
      <c r="G545" s="2"/>
      <c r="H545" s="2"/>
      <c r="I545" s="2"/>
      <c r="J545" s="2"/>
      <c r="K545" s="3">
        <v>40049</v>
      </c>
      <c r="L545" s="2"/>
      <c r="M545" s="2"/>
      <c r="N545" s="2" t="s">
        <v>18</v>
      </c>
    </row>
    <row r="546" spans="1:14" ht="15.75" customHeight="1" x14ac:dyDescent="0.35">
      <c r="A546" s="2" t="s">
        <v>1037</v>
      </c>
      <c r="B546" s="2" t="str" cm="1">
        <f t="array" ref="B546">_xlfn.IFS(AND(LEN('Special Help Table'!$A546)-(LEN(SUBSTITUTE('Special Help Table'!$A546,";","")))=0,LEN('Special Help Table'!$A546)-LEN(SUBSTITUTE('Special Help Table'!$A546,",",""))=1,LEN('Special Help Table'!$A546)-LEN(SUBSTITUTE('Special Help Table'!$A546,"and ",""))=0),MID('Special Help Table'!$A546&amp;" "&amp;'Special Help Table'!$A546,SEARCH(", ",'Special Help Table'!$A546)+1,LEN('Special Help Table'!$A546)),AND(LEN('Special Help Table'!$A546)-(LEN(SUBSTITUTE('Special Help Table'!$A546,";","")))=1,LEN('Special Help Table'!$A546)-LEN(SUBSTITUTE('Special Help Table'!$A546,"and ",""))=0),MID('Special Help Table'!$A546,SEARCH(",",'Special Help Table'!$A546)+1,(SEARCH(";",'Special Help Table'!$A546)-1)-SEARCH(",",'Special Help Table'!$A546))&amp;" "&amp;LEFT('Special Help Table'!$A546,SEARCH(",",'Special Help Table'!$A546)-1)&amp;";"&amp;RIGHT('Special Help Table'!$A546,LEN('Special Help Table'!$A546)-SEARCH(",",'Special Help Table'!$A546,SEARCH(";",'Special Help Table'!$A546)))&amp;" "&amp;MID('Special Help Table'!$A546,SEARCH("; ",'Special Help Table'!$A546)+2,SEARCH(",",'Special Help Table'!$A546,SEARCH(";",'Special Help Table'!$A546))-SEARCH(";",'Special Help Table'!$A546)-2),AND(LEN('Special Help Table'!$A546)-LEN(SUBSTITUTE('Special Help Table'!$A546,"and ",""))=0,LEN('Special Help Table'!$A546)-LEN(SUBSTITUTE('Special Help Table'!$A546,";",""))=0),'Special Help Table'!$A546,AND(LEN('Special Help Table'!$A546)-LEN(SUBSTITUTE('Special Help Table'!$A546,",","")=1),LEN('Special Help Table'!$A546)-LEN(SUBSTITUTE('Special Help Table'!$A546," ","")=20),LEN('Special Help Table'!$A546)-LEN(SUBSTITUTE('Special Help Table'!$A546," and",""))=0,LEN('Special Help Table'!$A546)-LEN(SUBSTITUTE('Special Help Table'!$A546,",","",FIND(" ",'Special Help Table'!$A546)+1))=0),RIGHT('Special Help Table'!$A546,LEN('Special Help Table'!$A546)-FIND(", ",'Special Help Table'!$A546))&amp;" "&amp;LEFT('Special Help Table'!$A546,FIND(",",'Special Help Table'!$A546)-1),AND(LEN('Special Help Table'!$A546)-LEN(SUBSTITUTE('Special Help Table'!$A546,"editor",""))=6,LEN('Special Help Table'!$A546)-LEN(SUBSTITUTE('Special Help Table'!$A546,"(",""))=0,LEN('Special Help Table'!$A546)-LEN(SUBSTITUTE('Special Help Table'!$A546,"and",""))=3,LEN('Special Help Table'!$A546)-LEN(SUBSTITUTE('Special Help Table'!$A546,",",""))=1,LEN('Special Help Table'!$A546)-LEN(SUBSTITUTE('Special Help Table'!$A546," ",""))=3),'Special Help Table'!$A546)</f>
        <v xml:space="preserve"> J. I. Packer</v>
      </c>
      <c r="C546" s="4" t="s">
        <v>1041</v>
      </c>
      <c r="D546" s="2"/>
      <c r="E546" s="2" t="s">
        <v>16</v>
      </c>
      <c r="F546" s="2" t="s">
        <v>28</v>
      </c>
      <c r="G546" s="2"/>
      <c r="H546" s="2"/>
      <c r="I546" s="2"/>
      <c r="J546" s="2" t="s">
        <v>1042</v>
      </c>
      <c r="K546" s="3">
        <v>40050</v>
      </c>
      <c r="L546" s="2"/>
      <c r="M546" s="2"/>
      <c r="N546" s="2" t="s">
        <v>18</v>
      </c>
    </row>
    <row r="547" spans="1:14" ht="15.75" customHeight="1" x14ac:dyDescent="0.35">
      <c r="A547" s="2" t="s">
        <v>1037</v>
      </c>
      <c r="B547" s="2" t="str" cm="1">
        <f t="array" ref="B547">_xlfn.IFS(AND(LEN('Special Help Table'!$A547)-(LEN(SUBSTITUTE('Special Help Table'!$A547,";","")))=0,LEN('Special Help Table'!$A547)-LEN(SUBSTITUTE('Special Help Table'!$A547,",",""))=1,LEN('Special Help Table'!$A547)-LEN(SUBSTITUTE('Special Help Table'!$A547,"and ",""))=0),MID('Special Help Table'!$A547&amp;" "&amp;'Special Help Table'!$A547,SEARCH(", ",'Special Help Table'!$A547)+1,LEN('Special Help Table'!$A547)),AND(LEN('Special Help Table'!$A547)-(LEN(SUBSTITUTE('Special Help Table'!$A547,";","")))=1,LEN('Special Help Table'!$A547)-LEN(SUBSTITUTE('Special Help Table'!$A547,"and ",""))=0),MID('Special Help Table'!$A547,SEARCH(",",'Special Help Table'!$A547)+1,(SEARCH(";",'Special Help Table'!$A547)-1)-SEARCH(",",'Special Help Table'!$A547))&amp;" "&amp;LEFT('Special Help Table'!$A547,SEARCH(",",'Special Help Table'!$A547)-1)&amp;";"&amp;RIGHT('Special Help Table'!$A547,LEN('Special Help Table'!$A547)-SEARCH(",",'Special Help Table'!$A547,SEARCH(";",'Special Help Table'!$A547)))&amp;" "&amp;MID('Special Help Table'!$A547,SEARCH("; ",'Special Help Table'!$A547)+2,SEARCH(",",'Special Help Table'!$A547,SEARCH(";",'Special Help Table'!$A547))-SEARCH(";",'Special Help Table'!$A547)-2),AND(LEN('Special Help Table'!$A547)-LEN(SUBSTITUTE('Special Help Table'!$A547,"and ",""))=0,LEN('Special Help Table'!$A547)-LEN(SUBSTITUTE('Special Help Table'!$A547,";",""))=0),'Special Help Table'!$A547,AND(LEN('Special Help Table'!$A547)-LEN(SUBSTITUTE('Special Help Table'!$A547,",","")=1),LEN('Special Help Table'!$A547)-LEN(SUBSTITUTE('Special Help Table'!$A547," ","")=20),LEN('Special Help Table'!$A547)-LEN(SUBSTITUTE('Special Help Table'!$A547," and",""))=0,LEN('Special Help Table'!$A547)-LEN(SUBSTITUTE('Special Help Table'!$A547,",","",FIND(" ",'Special Help Table'!$A547)+1))=0),RIGHT('Special Help Table'!$A547,LEN('Special Help Table'!$A547)-FIND(", ",'Special Help Table'!$A547))&amp;" "&amp;LEFT('Special Help Table'!$A547,FIND(",",'Special Help Table'!$A547)-1),AND(LEN('Special Help Table'!$A547)-LEN(SUBSTITUTE('Special Help Table'!$A547,"editor",""))=6,LEN('Special Help Table'!$A547)-LEN(SUBSTITUTE('Special Help Table'!$A547,"(",""))=0,LEN('Special Help Table'!$A547)-LEN(SUBSTITUTE('Special Help Table'!$A547,"and",""))=3,LEN('Special Help Table'!$A547)-LEN(SUBSTITUTE('Special Help Table'!$A547,",",""))=1,LEN('Special Help Table'!$A547)-LEN(SUBSTITUTE('Special Help Table'!$A547," ",""))=3),'Special Help Table'!$A547)</f>
        <v xml:space="preserve"> J. I. Packer</v>
      </c>
      <c r="C547" s="4" t="s">
        <v>1043</v>
      </c>
      <c r="D547" s="2"/>
      <c r="E547" s="2" t="s">
        <v>16</v>
      </c>
      <c r="F547" s="2" t="s">
        <v>28</v>
      </c>
      <c r="G547" s="2"/>
      <c r="H547" s="2"/>
      <c r="I547" s="2"/>
      <c r="J547" s="2"/>
      <c r="K547" s="3">
        <v>40051</v>
      </c>
      <c r="L547" s="2"/>
      <c r="M547" s="2"/>
      <c r="N547" s="2" t="s">
        <v>18</v>
      </c>
    </row>
    <row r="548" spans="1:14" ht="15.75" customHeight="1" x14ac:dyDescent="0.35">
      <c r="A548" s="2" t="s">
        <v>1044</v>
      </c>
      <c r="B548" s="2" t="str" cm="1">
        <f t="array" ref="B548">_xlfn.IFS(AND(LEN('Special Help Table'!$A548)-(LEN(SUBSTITUTE('Special Help Table'!$A548,";","")))=0,LEN('Special Help Table'!$A548)-LEN(SUBSTITUTE('Special Help Table'!$A548,",",""))=1,LEN('Special Help Table'!$A548)-LEN(SUBSTITUTE('Special Help Table'!$A548,"and ",""))=0),MID('Special Help Table'!$A548&amp;" "&amp;'Special Help Table'!$A548,SEARCH(", ",'Special Help Table'!$A548)+1,LEN('Special Help Table'!$A548)),AND(LEN('Special Help Table'!$A548)-(LEN(SUBSTITUTE('Special Help Table'!$A548,";","")))=1,LEN('Special Help Table'!$A548)-LEN(SUBSTITUTE('Special Help Table'!$A548,"and ",""))=0),MID('Special Help Table'!$A548,SEARCH(",",'Special Help Table'!$A548)+1,(SEARCH(";",'Special Help Table'!$A548)-1)-SEARCH(",",'Special Help Table'!$A548))&amp;" "&amp;LEFT('Special Help Table'!$A548,SEARCH(",",'Special Help Table'!$A548)-1)&amp;";"&amp;RIGHT('Special Help Table'!$A548,LEN('Special Help Table'!$A548)-SEARCH(",",'Special Help Table'!$A548,SEARCH(";",'Special Help Table'!$A548)))&amp;" "&amp;MID('Special Help Table'!$A548,SEARCH("; ",'Special Help Table'!$A548)+2,SEARCH(",",'Special Help Table'!$A548,SEARCH(";",'Special Help Table'!$A548))-SEARCH(";",'Special Help Table'!$A548)-2),AND(LEN('Special Help Table'!$A548)-LEN(SUBSTITUTE('Special Help Table'!$A548,"and ",""))=0,LEN('Special Help Table'!$A548)-LEN(SUBSTITUTE('Special Help Table'!$A548,";",""))=0),'Special Help Table'!$A548,AND(LEN('Special Help Table'!$A548)-LEN(SUBSTITUTE('Special Help Table'!$A548,",","")=1),LEN('Special Help Table'!$A548)-LEN(SUBSTITUTE('Special Help Table'!$A548," ","")=20),LEN('Special Help Table'!$A548)-LEN(SUBSTITUTE('Special Help Table'!$A548," and",""))=0,LEN('Special Help Table'!$A548)-LEN(SUBSTITUTE('Special Help Table'!$A548,",","",FIND(" ",'Special Help Table'!$A548)+1))=0),RIGHT('Special Help Table'!$A548,LEN('Special Help Table'!$A548)-FIND(", ",'Special Help Table'!$A548))&amp;" "&amp;LEFT('Special Help Table'!$A548,FIND(",",'Special Help Table'!$A548)-1),AND(LEN('Special Help Table'!$A548)-LEN(SUBSTITUTE('Special Help Table'!$A548,"editor",""))=6,LEN('Special Help Table'!$A548)-LEN(SUBSTITUTE('Special Help Table'!$A548,"(",""))=0,LEN('Special Help Table'!$A548)-LEN(SUBSTITUTE('Special Help Table'!$A548,"and",""))=3,LEN('Special Help Table'!$A548)-LEN(SUBSTITUTE('Special Help Table'!$A548,",",""))=1,LEN('Special Help Table'!$A548)-LEN(SUBSTITUTE('Special Help Table'!$A548," ",""))=3),'Special Help Table'!$A548)</f>
        <v xml:space="preserve"> A. Paquette</v>
      </c>
      <c r="C548" s="4" t="s">
        <v>1045</v>
      </c>
      <c r="D548" s="2" t="s">
        <v>1046</v>
      </c>
      <c r="E548" s="2" t="s">
        <v>16</v>
      </c>
      <c r="F548" s="2" t="s">
        <v>72</v>
      </c>
      <c r="G548" s="2"/>
      <c r="H548" s="2"/>
      <c r="I548" s="2"/>
      <c r="J548" s="2"/>
      <c r="K548" s="3">
        <v>43831</v>
      </c>
      <c r="L548" s="2"/>
      <c r="M548" s="2"/>
      <c r="N548" s="2" t="s">
        <v>18</v>
      </c>
    </row>
    <row r="549" spans="1:14" ht="15.75" customHeight="1" x14ac:dyDescent="0.35">
      <c r="A549" s="2" t="s">
        <v>1047</v>
      </c>
      <c r="B549" s="2" t="str" cm="1">
        <f t="array" ref="B549">_xlfn.IFS(AND(LEN('Special Help Table'!$A549)-(LEN(SUBSTITUTE('Special Help Table'!$A549,";","")))=0,LEN('Special Help Table'!$A549)-LEN(SUBSTITUTE('Special Help Table'!$A549,",",""))=1,LEN('Special Help Table'!$A549)-LEN(SUBSTITUTE('Special Help Table'!$A549,"and ",""))=0),MID('Special Help Table'!$A549&amp;" "&amp;'Special Help Table'!$A549,SEARCH(", ",'Special Help Table'!$A549)+1,LEN('Special Help Table'!$A549)),AND(LEN('Special Help Table'!$A549)-(LEN(SUBSTITUTE('Special Help Table'!$A549,";","")))=1,LEN('Special Help Table'!$A549)-LEN(SUBSTITUTE('Special Help Table'!$A549,"and ",""))=0),MID('Special Help Table'!$A549,SEARCH(",",'Special Help Table'!$A549)+1,(SEARCH(";",'Special Help Table'!$A549)-1)-SEARCH(",",'Special Help Table'!$A549))&amp;" "&amp;LEFT('Special Help Table'!$A549,SEARCH(",",'Special Help Table'!$A549)-1)&amp;";"&amp;RIGHT('Special Help Table'!$A549,LEN('Special Help Table'!$A549)-SEARCH(",",'Special Help Table'!$A549,SEARCH(";",'Special Help Table'!$A549)))&amp;" "&amp;MID('Special Help Table'!$A549,SEARCH("; ",'Special Help Table'!$A549)+2,SEARCH(",",'Special Help Table'!$A549,SEARCH(";",'Special Help Table'!$A549))-SEARCH(";",'Special Help Table'!$A549)-2),AND(LEN('Special Help Table'!$A549)-LEN(SUBSTITUTE('Special Help Table'!$A549,"and ",""))=0,LEN('Special Help Table'!$A549)-LEN(SUBSTITUTE('Special Help Table'!$A549,";",""))=0),'Special Help Table'!$A549,AND(LEN('Special Help Table'!$A549)-LEN(SUBSTITUTE('Special Help Table'!$A549,",","")=1),LEN('Special Help Table'!$A549)-LEN(SUBSTITUTE('Special Help Table'!$A549," ","")=20),LEN('Special Help Table'!$A549)-LEN(SUBSTITUTE('Special Help Table'!$A549," and",""))=0,LEN('Special Help Table'!$A549)-LEN(SUBSTITUTE('Special Help Table'!$A549,",","",FIND(" ",'Special Help Table'!$A549)+1))=0),RIGHT('Special Help Table'!$A549,LEN('Special Help Table'!$A549)-FIND(", ",'Special Help Table'!$A549))&amp;" "&amp;LEFT('Special Help Table'!$A549,FIND(",",'Special Help Table'!$A549)-1),AND(LEN('Special Help Table'!$A549)-LEN(SUBSTITUTE('Special Help Table'!$A549,"editor",""))=6,LEN('Special Help Table'!$A549)-LEN(SUBSTITUTE('Special Help Table'!$A549,"(",""))=0,LEN('Special Help Table'!$A549)-LEN(SUBSTITUTE('Special Help Table'!$A549,"and",""))=3,LEN('Special Help Table'!$A549)-LEN(SUBSTITUTE('Special Help Table'!$A549,",",""))=1,LEN('Special Help Table'!$A549)-LEN(SUBSTITUTE('Special Help Table'!$A549," ",""))=3),'Special Help Table'!$A549)</f>
        <v xml:space="preserve"> T.H.L. Parker</v>
      </c>
      <c r="C549" s="4" t="s">
        <v>1048</v>
      </c>
      <c r="D549" s="2"/>
      <c r="E549" s="2" t="s">
        <v>16</v>
      </c>
      <c r="F549" s="2" t="s">
        <v>39</v>
      </c>
      <c r="G549" s="2"/>
      <c r="H549" s="2"/>
      <c r="I549" s="2"/>
      <c r="J549" s="2" t="s">
        <v>193</v>
      </c>
      <c r="K549" s="3">
        <v>40951</v>
      </c>
      <c r="L549" s="2"/>
      <c r="M549" s="2"/>
      <c r="N549" s="2" t="s">
        <v>18</v>
      </c>
    </row>
    <row r="550" spans="1:14" ht="15.75" customHeight="1" x14ac:dyDescent="0.35">
      <c r="A550" s="2" t="s">
        <v>1049</v>
      </c>
      <c r="B550" s="2" t="str" cm="1">
        <f t="array" ref="B550">_xlfn.IFS(AND(LEN('Special Help Table'!$A550)-(LEN(SUBSTITUTE('Special Help Table'!$A550,";","")))=0,LEN('Special Help Table'!$A550)-LEN(SUBSTITUTE('Special Help Table'!$A550,",",""))=1,LEN('Special Help Table'!$A550)-LEN(SUBSTITUTE('Special Help Table'!$A550,"and ",""))=0),MID('Special Help Table'!$A550&amp;" "&amp;'Special Help Table'!$A550,SEARCH(", ",'Special Help Table'!$A550)+1,LEN('Special Help Table'!$A550)),AND(LEN('Special Help Table'!$A550)-(LEN(SUBSTITUTE('Special Help Table'!$A550,";","")))=1,LEN('Special Help Table'!$A550)-LEN(SUBSTITUTE('Special Help Table'!$A550,"and ",""))=0),MID('Special Help Table'!$A550,SEARCH(",",'Special Help Table'!$A550)+1,(SEARCH(";",'Special Help Table'!$A550)-1)-SEARCH(",",'Special Help Table'!$A550))&amp;" "&amp;LEFT('Special Help Table'!$A550,SEARCH(",",'Special Help Table'!$A550)-1)&amp;";"&amp;RIGHT('Special Help Table'!$A550,LEN('Special Help Table'!$A550)-SEARCH(",",'Special Help Table'!$A550,SEARCH(";",'Special Help Table'!$A550)))&amp;" "&amp;MID('Special Help Table'!$A550,SEARCH("; ",'Special Help Table'!$A550)+2,SEARCH(",",'Special Help Table'!$A550,SEARCH(";",'Special Help Table'!$A550))-SEARCH(";",'Special Help Table'!$A550)-2),AND(LEN('Special Help Table'!$A550)-LEN(SUBSTITUTE('Special Help Table'!$A550,"and ",""))=0,LEN('Special Help Table'!$A550)-LEN(SUBSTITUTE('Special Help Table'!$A550,";",""))=0),'Special Help Table'!$A550,AND(LEN('Special Help Table'!$A550)-LEN(SUBSTITUTE('Special Help Table'!$A550,",","")=1),LEN('Special Help Table'!$A550)-LEN(SUBSTITUTE('Special Help Table'!$A550," ","")=20),LEN('Special Help Table'!$A550)-LEN(SUBSTITUTE('Special Help Table'!$A550," and",""))=0,LEN('Special Help Table'!$A550)-LEN(SUBSTITUTE('Special Help Table'!$A550,",","",FIND(" ",'Special Help Table'!$A550)+1))=0),RIGHT('Special Help Table'!$A550,LEN('Special Help Table'!$A550)-FIND(", ",'Special Help Table'!$A550))&amp;" "&amp;LEFT('Special Help Table'!$A550,FIND(",",'Special Help Table'!$A550)-1),AND(LEN('Special Help Table'!$A550)-LEN(SUBSTITUTE('Special Help Table'!$A550,"editor",""))=6,LEN('Special Help Table'!$A550)-LEN(SUBSTITUTE('Special Help Table'!$A550,"(",""))=0,LEN('Special Help Table'!$A550)-LEN(SUBSTITUTE('Special Help Table'!$A550,"and",""))=3,LEN('Special Help Table'!$A550)-LEN(SUBSTITUTE('Special Help Table'!$A550,",",""))=1,LEN('Special Help Table'!$A550)-LEN(SUBSTITUTE('Special Help Table'!$A550," ",""))=3),'Special Help Table'!$A550)</f>
        <v xml:space="preserve"> Burk editor Parsons</v>
      </c>
      <c r="C550" s="4" t="s">
        <v>1050</v>
      </c>
      <c r="D550" s="2"/>
      <c r="E550" s="2" t="s">
        <v>16</v>
      </c>
      <c r="F550" s="2" t="s">
        <v>126</v>
      </c>
      <c r="G550" s="2"/>
      <c r="H550" s="2"/>
      <c r="I550" s="2"/>
      <c r="J550" s="2" t="s">
        <v>545</v>
      </c>
      <c r="K550" s="3">
        <v>40052</v>
      </c>
      <c r="L550" s="2"/>
      <c r="M550" s="2"/>
      <c r="N550" s="2" t="s">
        <v>18</v>
      </c>
    </row>
    <row r="551" spans="1:14" ht="15.75" customHeight="1" x14ac:dyDescent="0.35">
      <c r="A551" s="2" t="s">
        <v>1051</v>
      </c>
      <c r="B551" s="2" t="str" cm="1">
        <f t="array" ref="B551">_xlfn.IFS(AND(LEN('Special Help Table'!$A551)-(LEN(SUBSTITUTE('Special Help Table'!$A551,";","")))=0,LEN('Special Help Table'!$A551)-LEN(SUBSTITUTE('Special Help Table'!$A551,",",""))=1,LEN('Special Help Table'!$A551)-LEN(SUBSTITUTE('Special Help Table'!$A551,"and ",""))=0),MID('Special Help Table'!$A551&amp;" "&amp;'Special Help Table'!$A551,SEARCH(", ",'Special Help Table'!$A551)+1,LEN('Special Help Table'!$A551)),AND(LEN('Special Help Table'!$A551)-(LEN(SUBSTITUTE('Special Help Table'!$A551,";","")))=1,LEN('Special Help Table'!$A551)-LEN(SUBSTITUTE('Special Help Table'!$A551,"and ",""))=0),MID('Special Help Table'!$A551,SEARCH(",",'Special Help Table'!$A551)+1,(SEARCH(";",'Special Help Table'!$A551)-1)-SEARCH(",",'Special Help Table'!$A551))&amp;" "&amp;LEFT('Special Help Table'!$A551,SEARCH(",",'Special Help Table'!$A551)-1)&amp;";"&amp;RIGHT('Special Help Table'!$A551,LEN('Special Help Table'!$A551)-SEARCH(",",'Special Help Table'!$A551,SEARCH(";",'Special Help Table'!$A551)))&amp;" "&amp;MID('Special Help Table'!$A551,SEARCH("; ",'Special Help Table'!$A551)+2,SEARCH(",",'Special Help Table'!$A551,SEARCH(";",'Special Help Table'!$A551))-SEARCH(";",'Special Help Table'!$A551)-2),AND(LEN('Special Help Table'!$A551)-LEN(SUBSTITUTE('Special Help Table'!$A551,"and ",""))=0,LEN('Special Help Table'!$A551)-LEN(SUBSTITUTE('Special Help Table'!$A551,";",""))=0),'Special Help Table'!$A551,AND(LEN('Special Help Table'!$A551)-LEN(SUBSTITUTE('Special Help Table'!$A551,",","")=1),LEN('Special Help Table'!$A551)-LEN(SUBSTITUTE('Special Help Table'!$A551," ","")=20),LEN('Special Help Table'!$A551)-LEN(SUBSTITUTE('Special Help Table'!$A551," and",""))=0,LEN('Special Help Table'!$A551)-LEN(SUBSTITUTE('Special Help Table'!$A551,",","",FIND(" ",'Special Help Table'!$A551)+1))=0),RIGHT('Special Help Table'!$A551,LEN('Special Help Table'!$A551)-FIND(", ",'Special Help Table'!$A551))&amp;" "&amp;LEFT('Special Help Table'!$A551,FIND(",",'Special Help Table'!$A551)-1),AND(LEN('Special Help Table'!$A551)-LEN(SUBSTITUTE('Special Help Table'!$A551,"editor",""))=6,LEN('Special Help Table'!$A551)-LEN(SUBSTITUTE('Special Help Table'!$A551,"(",""))=0,LEN('Special Help Table'!$A551)-LEN(SUBSTITUTE('Special Help Table'!$A551,"and",""))=3,LEN('Special Help Table'!$A551)-LEN(SUBSTITUTE('Special Help Table'!$A551,",",""))=1,LEN('Special Help Table'!$A551)-LEN(SUBSTITUTE('Special Help Table'!$A551," ",""))=3),'Special Help Table'!$A551)</f>
        <v xml:space="preserve"> James Paton</v>
      </c>
      <c r="C551" s="4" t="s">
        <v>1052</v>
      </c>
      <c r="D551" s="2"/>
      <c r="E551" s="2" t="s">
        <v>16</v>
      </c>
      <c r="F551" s="2" t="s">
        <v>39</v>
      </c>
      <c r="G551" s="2"/>
      <c r="H551" s="2"/>
      <c r="I551" s="2"/>
      <c r="J551" s="2"/>
      <c r="K551" s="3">
        <v>40053</v>
      </c>
      <c r="L551" s="2"/>
      <c r="M551" s="2"/>
      <c r="N551" s="2" t="s">
        <v>18</v>
      </c>
    </row>
    <row r="552" spans="1:14" ht="15.75" customHeight="1" x14ac:dyDescent="0.35">
      <c r="A552" s="2" t="s">
        <v>1053</v>
      </c>
      <c r="B552" s="2" t="str" cm="1">
        <f t="array" ref="B552">_xlfn.IFS(AND(LEN('Special Help Table'!$A552)-(LEN(SUBSTITUTE('Special Help Table'!$A552,";","")))=0,LEN('Special Help Table'!$A552)-LEN(SUBSTITUTE('Special Help Table'!$A552,",",""))=1,LEN('Special Help Table'!$A552)-LEN(SUBSTITUTE('Special Help Table'!$A552,"and ",""))=0),MID('Special Help Table'!$A552&amp;" "&amp;'Special Help Table'!$A552,SEARCH(", ",'Special Help Table'!$A552)+1,LEN('Special Help Table'!$A552)),AND(LEN('Special Help Table'!$A552)-(LEN(SUBSTITUTE('Special Help Table'!$A552,";","")))=1,LEN('Special Help Table'!$A552)-LEN(SUBSTITUTE('Special Help Table'!$A552,"and ",""))=0),MID('Special Help Table'!$A552,SEARCH(",",'Special Help Table'!$A552)+1,(SEARCH(";",'Special Help Table'!$A552)-1)-SEARCH(",",'Special Help Table'!$A552))&amp;" "&amp;LEFT('Special Help Table'!$A552,SEARCH(",",'Special Help Table'!$A552)-1)&amp;";"&amp;RIGHT('Special Help Table'!$A552,LEN('Special Help Table'!$A552)-SEARCH(",",'Special Help Table'!$A552,SEARCH(";",'Special Help Table'!$A552)))&amp;" "&amp;MID('Special Help Table'!$A552,SEARCH("; ",'Special Help Table'!$A552)+2,SEARCH(",",'Special Help Table'!$A552,SEARCH(";",'Special Help Table'!$A552))-SEARCH(";",'Special Help Table'!$A552)-2),AND(LEN('Special Help Table'!$A552)-LEN(SUBSTITUTE('Special Help Table'!$A552,"and ",""))=0,LEN('Special Help Table'!$A552)-LEN(SUBSTITUTE('Special Help Table'!$A552,";",""))=0),'Special Help Table'!$A552,AND(LEN('Special Help Table'!$A552)-LEN(SUBSTITUTE('Special Help Table'!$A552,",","")=1),LEN('Special Help Table'!$A552)-LEN(SUBSTITUTE('Special Help Table'!$A552," ","")=20),LEN('Special Help Table'!$A552)-LEN(SUBSTITUTE('Special Help Table'!$A552," and",""))=0,LEN('Special Help Table'!$A552)-LEN(SUBSTITUTE('Special Help Table'!$A552,",","",FIND(" ",'Special Help Table'!$A552)+1))=0),RIGHT('Special Help Table'!$A552,LEN('Special Help Table'!$A552)-FIND(", ",'Special Help Table'!$A552))&amp;" "&amp;LEFT('Special Help Table'!$A552,FIND(",",'Special Help Table'!$A552)-1),AND(LEN('Special Help Table'!$A552)-LEN(SUBSTITUTE('Special Help Table'!$A552,"editor",""))=6,LEN('Special Help Table'!$A552)-LEN(SUBSTITUTE('Special Help Table'!$A552,"(",""))=0,LEN('Special Help Table'!$A552)-LEN(SUBSTITUTE('Special Help Table'!$A552,"and",""))=3,LEN('Special Help Table'!$A552)-LEN(SUBSTITUTE('Special Help Table'!$A552,",",""))=1,LEN('Special Help Table'!$A552)-LEN(SUBSTITUTE('Special Help Table'!$A552," ",""))=3),'Special Help Table'!$A552)</f>
        <v xml:space="preserve"> Tony Payne</v>
      </c>
      <c r="C552" s="4" t="s">
        <v>685</v>
      </c>
      <c r="D552" s="2" t="s">
        <v>1054</v>
      </c>
      <c r="E552" s="2" t="s">
        <v>16</v>
      </c>
      <c r="F552" s="2" t="s">
        <v>36</v>
      </c>
      <c r="G552" s="2"/>
      <c r="H552" s="2"/>
      <c r="I552" s="2"/>
      <c r="J552" s="2"/>
      <c r="K552" s="3">
        <v>40431</v>
      </c>
      <c r="L552" s="2"/>
      <c r="M552" s="2"/>
      <c r="N552" s="2" t="s">
        <v>18</v>
      </c>
    </row>
    <row r="553" spans="1:14" ht="15.75" customHeight="1" x14ac:dyDescent="0.35">
      <c r="A553" s="2" t="s">
        <v>1053</v>
      </c>
      <c r="B553" s="2" t="str" cm="1">
        <f t="array" ref="B553">_xlfn.IFS(AND(LEN('Special Help Table'!$A553)-(LEN(SUBSTITUTE('Special Help Table'!$A553,";","")))=0,LEN('Special Help Table'!$A553)-LEN(SUBSTITUTE('Special Help Table'!$A553,",",""))=1,LEN('Special Help Table'!$A553)-LEN(SUBSTITUTE('Special Help Table'!$A553,"and ",""))=0),MID('Special Help Table'!$A553&amp;" "&amp;'Special Help Table'!$A553,SEARCH(", ",'Special Help Table'!$A553)+1,LEN('Special Help Table'!$A553)),AND(LEN('Special Help Table'!$A553)-(LEN(SUBSTITUTE('Special Help Table'!$A553,";","")))=1,LEN('Special Help Table'!$A553)-LEN(SUBSTITUTE('Special Help Table'!$A553,"and ",""))=0),MID('Special Help Table'!$A553,SEARCH(",",'Special Help Table'!$A553)+1,(SEARCH(";",'Special Help Table'!$A553)-1)-SEARCH(",",'Special Help Table'!$A553))&amp;" "&amp;LEFT('Special Help Table'!$A553,SEARCH(",",'Special Help Table'!$A553)-1)&amp;";"&amp;RIGHT('Special Help Table'!$A553,LEN('Special Help Table'!$A553)-SEARCH(",",'Special Help Table'!$A553,SEARCH(";",'Special Help Table'!$A553)))&amp;" "&amp;MID('Special Help Table'!$A553,SEARCH("; ",'Special Help Table'!$A553)+2,SEARCH(",",'Special Help Table'!$A553,SEARCH(";",'Special Help Table'!$A553))-SEARCH(";",'Special Help Table'!$A553)-2),AND(LEN('Special Help Table'!$A553)-LEN(SUBSTITUTE('Special Help Table'!$A553,"and ",""))=0,LEN('Special Help Table'!$A553)-LEN(SUBSTITUTE('Special Help Table'!$A553,";",""))=0),'Special Help Table'!$A553,AND(LEN('Special Help Table'!$A553)-LEN(SUBSTITUTE('Special Help Table'!$A553,",","")=1),LEN('Special Help Table'!$A553)-LEN(SUBSTITUTE('Special Help Table'!$A553," ","")=20),LEN('Special Help Table'!$A553)-LEN(SUBSTITUTE('Special Help Table'!$A553," and",""))=0,LEN('Special Help Table'!$A553)-LEN(SUBSTITUTE('Special Help Table'!$A553,",","",FIND(" ",'Special Help Table'!$A553)+1))=0),RIGHT('Special Help Table'!$A553,LEN('Special Help Table'!$A553)-FIND(", ",'Special Help Table'!$A553))&amp;" "&amp;LEFT('Special Help Table'!$A553,FIND(",",'Special Help Table'!$A553)-1),AND(LEN('Special Help Table'!$A553)-LEN(SUBSTITUTE('Special Help Table'!$A553,"editor",""))=6,LEN('Special Help Table'!$A553)-LEN(SUBSTITUTE('Special Help Table'!$A553,"(",""))=0,LEN('Special Help Table'!$A553)-LEN(SUBSTITUTE('Special Help Table'!$A553,"and",""))=3,LEN('Special Help Table'!$A553)-LEN(SUBSTITUTE('Special Help Table'!$A553,",",""))=1,LEN('Special Help Table'!$A553)-LEN(SUBSTITUTE('Special Help Table'!$A553," ",""))=3),'Special Help Table'!$A553)</f>
        <v xml:space="preserve"> Tony Payne</v>
      </c>
      <c r="C553" s="4" t="s">
        <v>1055</v>
      </c>
      <c r="D553" s="2"/>
      <c r="E553" s="2" t="s">
        <v>16</v>
      </c>
      <c r="F553" s="2" t="s">
        <v>33</v>
      </c>
      <c r="G553" s="2"/>
      <c r="H553" s="2"/>
      <c r="I553" s="2"/>
      <c r="J553" s="2"/>
      <c r="K553" s="3">
        <v>42511</v>
      </c>
      <c r="L553" s="2"/>
      <c r="M553" s="2"/>
      <c r="N553" s="2" t="s">
        <v>18</v>
      </c>
    </row>
    <row r="554" spans="1:14" ht="15.75" customHeight="1" x14ac:dyDescent="0.35">
      <c r="A554" s="2" t="s">
        <v>1056</v>
      </c>
      <c r="B554" s="2" t="str" cm="1">
        <f t="array" ref="B554">_xlfn.IFS(AND(LEN('Special Help Table'!$A554)-(LEN(SUBSTITUTE('Special Help Table'!$A554,";","")))=0,LEN('Special Help Table'!$A554)-LEN(SUBSTITUTE('Special Help Table'!$A554,",",""))=1,LEN('Special Help Table'!$A554)-LEN(SUBSTITUTE('Special Help Table'!$A554,"and ",""))=0),MID('Special Help Table'!$A554&amp;" "&amp;'Special Help Table'!$A554,SEARCH(", ",'Special Help Table'!$A554)+1,LEN('Special Help Table'!$A554)),AND(LEN('Special Help Table'!$A554)-(LEN(SUBSTITUTE('Special Help Table'!$A554,";","")))=1,LEN('Special Help Table'!$A554)-LEN(SUBSTITUTE('Special Help Table'!$A554,"and ",""))=0),MID('Special Help Table'!$A554,SEARCH(",",'Special Help Table'!$A554)+1,(SEARCH(";",'Special Help Table'!$A554)-1)-SEARCH(",",'Special Help Table'!$A554))&amp;" "&amp;LEFT('Special Help Table'!$A554,SEARCH(",",'Special Help Table'!$A554)-1)&amp;";"&amp;RIGHT('Special Help Table'!$A554,LEN('Special Help Table'!$A554)-SEARCH(",",'Special Help Table'!$A554,SEARCH(";",'Special Help Table'!$A554)))&amp;" "&amp;MID('Special Help Table'!$A554,SEARCH("; ",'Special Help Table'!$A554)+2,SEARCH(",",'Special Help Table'!$A554,SEARCH(";",'Special Help Table'!$A554))-SEARCH(";",'Special Help Table'!$A554)-2),AND(LEN('Special Help Table'!$A554)-LEN(SUBSTITUTE('Special Help Table'!$A554,"and ",""))=0,LEN('Special Help Table'!$A554)-LEN(SUBSTITUTE('Special Help Table'!$A554,";",""))=0),'Special Help Table'!$A554,AND(LEN('Special Help Table'!$A554)-LEN(SUBSTITUTE('Special Help Table'!$A554,",","")=1),LEN('Special Help Table'!$A554)-LEN(SUBSTITUTE('Special Help Table'!$A554," ","")=20),LEN('Special Help Table'!$A554)-LEN(SUBSTITUTE('Special Help Table'!$A554," and",""))=0,LEN('Special Help Table'!$A554)-LEN(SUBSTITUTE('Special Help Table'!$A554,",","",FIND(" ",'Special Help Table'!$A554)+1))=0),RIGHT('Special Help Table'!$A554,LEN('Special Help Table'!$A554)-FIND(", ",'Special Help Table'!$A554))&amp;" "&amp;LEFT('Special Help Table'!$A554,FIND(",",'Special Help Table'!$A554)-1),AND(LEN('Special Help Table'!$A554)-LEN(SUBSTITUTE('Special Help Table'!$A554,"editor",""))=6,LEN('Special Help Table'!$A554)-LEN(SUBSTITUTE('Special Help Table'!$A554,"(",""))=0,LEN('Special Help Table'!$A554)-LEN(SUBSTITUTE('Special Help Table'!$A554,"and",""))=3,LEN('Special Help Table'!$A554)-LEN(SUBSTITUTE('Special Help Table'!$A554,",",""))=1,LEN('Special Help Table'!$A554)-LEN(SUBSTITUTE('Special Help Table'!$A554," ",""))=3),'Special Help Table'!$A554)</f>
        <v xml:space="preserve"> Martha Peace</v>
      </c>
      <c r="C554" s="4" t="s">
        <v>281</v>
      </c>
      <c r="D554" s="2" t="s">
        <v>1057</v>
      </c>
      <c r="E554" s="2" t="s">
        <v>16</v>
      </c>
      <c r="F554" s="2" t="s">
        <v>17</v>
      </c>
      <c r="G554" s="2"/>
      <c r="H554" s="2"/>
      <c r="I554" s="2"/>
      <c r="J554" s="2" t="s">
        <v>281</v>
      </c>
      <c r="K554" s="3">
        <v>43211</v>
      </c>
      <c r="L554" s="2"/>
      <c r="M554" s="2"/>
      <c r="N554" s="2" t="s">
        <v>18</v>
      </c>
    </row>
    <row r="555" spans="1:14" ht="15.75" customHeight="1" x14ac:dyDescent="0.35">
      <c r="A555" s="2" t="s">
        <v>1056</v>
      </c>
      <c r="B555" s="2" t="str" cm="1">
        <f t="array" ref="B555">_xlfn.IFS(AND(LEN('Special Help Table'!$A555)-(LEN(SUBSTITUTE('Special Help Table'!$A555,";","")))=0,LEN('Special Help Table'!$A555)-LEN(SUBSTITUTE('Special Help Table'!$A555,",",""))=1,LEN('Special Help Table'!$A555)-LEN(SUBSTITUTE('Special Help Table'!$A555,"and ",""))=0),MID('Special Help Table'!$A555&amp;" "&amp;'Special Help Table'!$A555,SEARCH(", ",'Special Help Table'!$A555)+1,LEN('Special Help Table'!$A555)),AND(LEN('Special Help Table'!$A555)-(LEN(SUBSTITUTE('Special Help Table'!$A555,";","")))=1,LEN('Special Help Table'!$A555)-LEN(SUBSTITUTE('Special Help Table'!$A555,"and ",""))=0),MID('Special Help Table'!$A555,SEARCH(",",'Special Help Table'!$A555)+1,(SEARCH(";",'Special Help Table'!$A555)-1)-SEARCH(",",'Special Help Table'!$A555))&amp;" "&amp;LEFT('Special Help Table'!$A555,SEARCH(",",'Special Help Table'!$A555)-1)&amp;";"&amp;RIGHT('Special Help Table'!$A555,LEN('Special Help Table'!$A555)-SEARCH(",",'Special Help Table'!$A555,SEARCH(";",'Special Help Table'!$A555)))&amp;" "&amp;MID('Special Help Table'!$A555,SEARCH("; ",'Special Help Table'!$A555)+2,SEARCH(",",'Special Help Table'!$A555,SEARCH(";",'Special Help Table'!$A555))-SEARCH(";",'Special Help Table'!$A555)-2),AND(LEN('Special Help Table'!$A555)-LEN(SUBSTITUTE('Special Help Table'!$A555,"and ",""))=0,LEN('Special Help Table'!$A555)-LEN(SUBSTITUTE('Special Help Table'!$A555,";",""))=0),'Special Help Table'!$A555,AND(LEN('Special Help Table'!$A555)-LEN(SUBSTITUTE('Special Help Table'!$A555,",","")=1),LEN('Special Help Table'!$A555)-LEN(SUBSTITUTE('Special Help Table'!$A555," ","")=20),LEN('Special Help Table'!$A555)-LEN(SUBSTITUTE('Special Help Table'!$A555," and",""))=0,LEN('Special Help Table'!$A555)-LEN(SUBSTITUTE('Special Help Table'!$A555,",","",FIND(" ",'Special Help Table'!$A555)+1))=0),RIGHT('Special Help Table'!$A555,LEN('Special Help Table'!$A555)-FIND(", ",'Special Help Table'!$A555))&amp;" "&amp;LEFT('Special Help Table'!$A555,FIND(",",'Special Help Table'!$A555)-1),AND(LEN('Special Help Table'!$A555)-LEN(SUBSTITUTE('Special Help Table'!$A555,"editor",""))=6,LEN('Special Help Table'!$A555)-LEN(SUBSTITUTE('Special Help Table'!$A555,"(",""))=0,LEN('Special Help Table'!$A555)-LEN(SUBSTITUTE('Special Help Table'!$A555,"and",""))=3,LEN('Special Help Table'!$A555)-LEN(SUBSTITUTE('Special Help Table'!$A555,",",""))=1,LEN('Special Help Table'!$A555)-LEN(SUBSTITUTE('Special Help Table'!$A555," ",""))=3),'Special Help Table'!$A555)</f>
        <v xml:space="preserve"> Martha Peace</v>
      </c>
      <c r="C555" s="4" t="s">
        <v>1058</v>
      </c>
      <c r="D555" s="2" t="s">
        <v>1059</v>
      </c>
      <c r="E555" s="2" t="s">
        <v>16</v>
      </c>
      <c r="F555" s="2" t="s">
        <v>17</v>
      </c>
      <c r="G555" s="2"/>
      <c r="H555" s="2"/>
      <c r="I555" s="2"/>
      <c r="J555" s="2" t="s">
        <v>622</v>
      </c>
      <c r="K555" s="3">
        <v>43211</v>
      </c>
      <c r="L555" s="2"/>
      <c r="M555" s="2"/>
      <c r="N555" s="2" t="s">
        <v>18</v>
      </c>
    </row>
    <row r="556" spans="1:14" ht="15.75" customHeight="1" x14ac:dyDescent="0.35">
      <c r="A556" s="2" t="s">
        <v>1060</v>
      </c>
      <c r="B556" s="2" t="str" cm="1">
        <f t="array" ref="B556">_xlfn.IFS(AND(LEN('Special Help Table'!$A556)-(LEN(SUBSTITUTE('Special Help Table'!$A556,";","")))=0,LEN('Special Help Table'!$A556)-LEN(SUBSTITUTE('Special Help Table'!$A556,",",""))=1,LEN('Special Help Table'!$A556)-LEN(SUBSTITUTE('Special Help Table'!$A556,"and ",""))=0),MID('Special Help Table'!$A556&amp;" "&amp;'Special Help Table'!$A556,SEARCH(", ",'Special Help Table'!$A556)+1,LEN('Special Help Table'!$A556)),AND(LEN('Special Help Table'!$A556)-(LEN(SUBSTITUTE('Special Help Table'!$A556,";","")))=1,LEN('Special Help Table'!$A556)-LEN(SUBSTITUTE('Special Help Table'!$A556,"and ",""))=0),MID('Special Help Table'!$A556,SEARCH(",",'Special Help Table'!$A556)+1,(SEARCH(";",'Special Help Table'!$A556)-1)-SEARCH(",",'Special Help Table'!$A556))&amp;" "&amp;LEFT('Special Help Table'!$A556,SEARCH(",",'Special Help Table'!$A556)-1)&amp;";"&amp;RIGHT('Special Help Table'!$A556,LEN('Special Help Table'!$A556)-SEARCH(",",'Special Help Table'!$A556,SEARCH(";",'Special Help Table'!$A556)))&amp;" "&amp;MID('Special Help Table'!$A556,SEARCH("; ",'Special Help Table'!$A556)+2,SEARCH(",",'Special Help Table'!$A556,SEARCH(";",'Special Help Table'!$A556))-SEARCH(";",'Special Help Table'!$A556)-2),AND(LEN('Special Help Table'!$A556)-LEN(SUBSTITUTE('Special Help Table'!$A556,"and ",""))=0,LEN('Special Help Table'!$A556)-LEN(SUBSTITUTE('Special Help Table'!$A556,";",""))=0),'Special Help Table'!$A556,AND(LEN('Special Help Table'!$A556)-LEN(SUBSTITUTE('Special Help Table'!$A556,",","")=1),LEN('Special Help Table'!$A556)-LEN(SUBSTITUTE('Special Help Table'!$A556," ","")=20),LEN('Special Help Table'!$A556)-LEN(SUBSTITUTE('Special Help Table'!$A556," and",""))=0,LEN('Special Help Table'!$A556)-LEN(SUBSTITUTE('Special Help Table'!$A556,",","",FIND(" ",'Special Help Table'!$A556)+1))=0),RIGHT('Special Help Table'!$A556,LEN('Special Help Table'!$A556)-FIND(", ",'Special Help Table'!$A556))&amp;" "&amp;LEFT('Special Help Table'!$A556,FIND(",",'Special Help Table'!$A556)-1),AND(LEN('Special Help Table'!$A556)-LEN(SUBSTITUTE('Special Help Table'!$A556,"editor",""))=6,LEN('Special Help Table'!$A556)-LEN(SUBSTITUTE('Special Help Table'!$A556,"(",""))=0,LEN('Special Help Table'!$A556)-LEN(SUBSTITUTE('Special Help Table'!$A556,"and",""))=3,LEN('Special Help Table'!$A556)-LEN(SUBSTITUTE('Special Help Table'!$A556,",",""))=1,LEN('Special Help Table'!$A556)-LEN(SUBSTITUTE('Special Help Table'!$A556," ",""))=3),'Special Help Table'!$A556)</f>
        <v xml:space="preserve"> Nancy R. Pearcey</v>
      </c>
      <c r="C556" s="4" t="s">
        <v>1061</v>
      </c>
      <c r="D556" s="2"/>
      <c r="E556" s="2" t="s">
        <v>16</v>
      </c>
      <c r="F556" s="2" t="s">
        <v>17</v>
      </c>
      <c r="G556" s="2"/>
      <c r="H556" s="2"/>
      <c r="I556" s="2"/>
      <c r="J556" s="2" t="s">
        <v>1062</v>
      </c>
      <c r="K556" s="3">
        <v>43132</v>
      </c>
      <c r="L556" s="2"/>
      <c r="M556" s="2"/>
      <c r="N556" s="2" t="s">
        <v>18</v>
      </c>
    </row>
    <row r="557" spans="1:14" ht="15.75" customHeight="1" x14ac:dyDescent="0.35">
      <c r="A557" s="2" t="s">
        <v>1063</v>
      </c>
      <c r="B557" s="2" t="str" cm="1">
        <f t="array" ref="B557">_xlfn.IFS(AND(LEN('Special Help Table'!$A557)-(LEN(SUBSTITUTE('Special Help Table'!$A557,";","")))=0,LEN('Special Help Table'!$A557)-LEN(SUBSTITUTE('Special Help Table'!$A557,",",""))=1,LEN('Special Help Table'!$A557)-LEN(SUBSTITUTE('Special Help Table'!$A557,"and ",""))=0),MID('Special Help Table'!$A557&amp;" "&amp;'Special Help Table'!$A557,SEARCH(", ",'Special Help Table'!$A557)+1,LEN('Special Help Table'!$A557)),AND(LEN('Special Help Table'!$A557)-(LEN(SUBSTITUTE('Special Help Table'!$A557,";","")))=1,LEN('Special Help Table'!$A557)-LEN(SUBSTITUTE('Special Help Table'!$A557,"and ",""))=0),MID('Special Help Table'!$A557,SEARCH(",",'Special Help Table'!$A557)+1,(SEARCH(";",'Special Help Table'!$A557)-1)-SEARCH(",",'Special Help Table'!$A557))&amp;" "&amp;LEFT('Special Help Table'!$A557,SEARCH(",",'Special Help Table'!$A557)-1)&amp;";"&amp;RIGHT('Special Help Table'!$A557,LEN('Special Help Table'!$A557)-SEARCH(",",'Special Help Table'!$A557,SEARCH(";",'Special Help Table'!$A557)))&amp;" "&amp;MID('Special Help Table'!$A557,SEARCH("; ",'Special Help Table'!$A557)+2,SEARCH(",",'Special Help Table'!$A557,SEARCH(";",'Special Help Table'!$A557))-SEARCH(";",'Special Help Table'!$A557)-2),AND(LEN('Special Help Table'!$A557)-LEN(SUBSTITUTE('Special Help Table'!$A557,"and ",""))=0,LEN('Special Help Table'!$A557)-LEN(SUBSTITUTE('Special Help Table'!$A557,";",""))=0),'Special Help Table'!$A557,AND(LEN('Special Help Table'!$A557)-LEN(SUBSTITUTE('Special Help Table'!$A557,",","")=1),LEN('Special Help Table'!$A557)-LEN(SUBSTITUTE('Special Help Table'!$A557," ","")=20),LEN('Special Help Table'!$A557)-LEN(SUBSTITUTE('Special Help Table'!$A557," and",""))=0,LEN('Special Help Table'!$A557)-LEN(SUBSTITUTE('Special Help Table'!$A557,",","",FIND(" ",'Special Help Table'!$A557)+1))=0),RIGHT('Special Help Table'!$A557,LEN('Special Help Table'!$A557)-FIND(", ",'Special Help Table'!$A557))&amp;" "&amp;LEFT('Special Help Table'!$A557,FIND(",",'Special Help Table'!$A557)-1),AND(LEN('Special Help Table'!$A557)-LEN(SUBSTITUTE('Special Help Table'!$A557,"editor",""))=6,LEN('Special Help Table'!$A557)-LEN(SUBSTITUTE('Special Help Table'!$A557,"(",""))=0,LEN('Special Help Table'!$A557)-LEN(SUBSTITUTE('Special Help Table'!$A557,"and",""))=3,LEN('Special Help Table'!$A557)-LEN(SUBSTITUTE('Special Help Table'!$A557,",",""))=1,LEN('Special Help Table'!$A557)-LEN(SUBSTITUTE('Special Help Table'!$A557," ",""))=3),'Special Help Table'!$A557)</f>
        <v xml:space="preserve"> Matt Perman</v>
      </c>
      <c r="C557" s="4" t="s">
        <v>1064</v>
      </c>
      <c r="D557" s="2"/>
      <c r="E557" s="2" t="s">
        <v>16</v>
      </c>
      <c r="F557" s="2" t="s">
        <v>36</v>
      </c>
      <c r="G557" s="2"/>
      <c r="H557" s="2"/>
      <c r="I557" s="2"/>
      <c r="J557" s="2"/>
      <c r="K557" s="3">
        <v>41926</v>
      </c>
      <c r="L557" s="2"/>
      <c r="M557" s="2"/>
      <c r="N557" s="2" t="s">
        <v>18</v>
      </c>
    </row>
    <row r="558" spans="1:14" ht="15.75" customHeight="1" x14ac:dyDescent="0.35">
      <c r="A558" s="2" t="s">
        <v>1065</v>
      </c>
      <c r="B558" s="2" t="str" cm="1">
        <f t="array" ref="B558">_xlfn.IFS(AND(LEN('Special Help Table'!$A558)-(LEN(SUBSTITUTE('Special Help Table'!$A558,";","")))=0,LEN('Special Help Table'!$A558)-LEN(SUBSTITUTE('Special Help Table'!$A558,",",""))=1,LEN('Special Help Table'!$A558)-LEN(SUBSTITUTE('Special Help Table'!$A558,"and ",""))=0),MID('Special Help Table'!$A558&amp;" "&amp;'Special Help Table'!$A558,SEARCH(", ",'Special Help Table'!$A558)+1,LEN('Special Help Table'!$A558)),AND(LEN('Special Help Table'!$A558)-(LEN(SUBSTITUTE('Special Help Table'!$A558,";","")))=1,LEN('Special Help Table'!$A558)-LEN(SUBSTITUTE('Special Help Table'!$A558,"and ",""))=0),MID('Special Help Table'!$A558,SEARCH(",",'Special Help Table'!$A558)+1,(SEARCH(";",'Special Help Table'!$A558)-1)-SEARCH(",",'Special Help Table'!$A558))&amp;" "&amp;LEFT('Special Help Table'!$A558,SEARCH(",",'Special Help Table'!$A558)-1)&amp;";"&amp;RIGHT('Special Help Table'!$A558,LEN('Special Help Table'!$A558)-SEARCH(",",'Special Help Table'!$A558,SEARCH(";",'Special Help Table'!$A558)))&amp;" "&amp;MID('Special Help Table'!$A558,SEARCH("; ",'Special Help Table'!$A558)+2,SEARCH(",",'Special Help Table'!$A558,SEARCH(";",'Special Help Table'!$A558))-SEARCH(";",'Special Help Table'!$A558)-2),AND(LEN('Special Help Table'!$A558)-LEN(SUBSTITUTE('Special Help Table'!$A558,"and ",""))=0,LEN('Special Help Table'!$A558)-LEN(SUBSTITUTE('Special Help Table'!$A558,";",""))=0),'Special Help Table'!$A558,AND(LEN('Special Help Table'!$A558)-LEN(SUBSTITUTE('Special Help Table'!$A558,",","")=1),LEN('Special Help Table'!$A558)-LEN(SUBSTITUTE('Special Help Table'!$A558," ","")=20),LEN('Special Help Table'!$A558)-LEN(SUBSTITUTE('Special Help Table'!$A558," and",""))=0,LEN('Special Help Table'!$A558)-LEN(SUBSTITUTE('Special Help Table'!$A558,",","",FIND(" ",'Special Help Table'!$A558)+1))=0),RIGHT('Special Help Table'!$A558,LEN('Special Help Table'!$A558)-FIND(", ",'Special Help Table'!$A558))&amp;" "&amp;LEFT('Special Help Table'!$A558,FIND(",",'Special Help Table'!$A558)-1),AND(LEN('Special Help Table'!$A558)-LEN(SUBSTITUTE('Special Help Table'!$A558,"editor",""))=6,LEN('Special Help Table'!$A558)-LEN(SUBSTITUTE('Special Help Table'!$A558,"(",""))=0,LEN('Special Help Table'!$A558)-LEN(SUBSTITUTE('Special Help Table'!$A558,"and",""))=3,LEN('Special Help Table'!$A558)-LEN(SUBSTITUTE('Special Help Table'!$A558,",",""))=1,LEN('Special Help Table'!$A558)-LEN(SUBSTITUTE('Special Help Table'!$A558," ",""))=3),'Special Help Table'!$A558)</f>
        <v xml:space="preserve"> Sean Perron; Spencer Harmon</v>
      </c>
      <c r="C558" s="4" t="s">
        <v>1066</v>
      </c>
      <c r="D558" s="2"/>
      <c r="E558" s="2" t="s">
        <v>16</v>
      </c>
      <c r="F558" s="2" t="s">
        <v>17</v>
      </c>
      <c r="G558" s="2"/>
      <c r="H558" s="2"/>
      <c r="I558" s="2"/>
      <c r="J558" s="2" t="s">
        <v>622</v>
      </c>
      <c r="K558" s="3"/>
      <c r="L558" s="2"/>
      <c r="M558" s="2"/>
      <c r="N558" s="2" t="s">
        <v>18</v>
      </c>
    </row>
    <row r="559" spans="1:14" ht="15.75" customHeight="1" x14ac:dyDescent="0.35">
      <c r="A559" s="2" t="s">
        <v>1067</v>
      </c>
      <c r="B559" s="2" t="str" cm="1">
        <f t="array" ref="B559">_xlfn.IFS(AND(LEN('Special Help Table'!$A559)-(LEN(SUBSTITUTE('Special Help Table'!$A559,";","")))=0,LEN('Special Help Table'!$A559)-LEN(SUBSTITUTE('Special Help Table'!$A559,",",""))=1,LEN('Special Help Table'!$A559)-LEN(SUBSTITUTE('Special Help Table'!$A559,"and ",""))=0),MID('Special Help Table'!$A559&amp;" "&amp;'Special Help Table'!$A559,SEARCH(", ",'Special Help Table'!$A559)+1,LEN('Special Help Table'!$A559)),AND(LEN('Special Help Table'!$A559)-(LEN(SUBSTITUTE('Special Help Table'!$A559,";","")))=1,LEN('Special Help Table'!$A559)-LEN(SUBSTITUTE('Special Help Table'!$A559,"and ",""))=0),MID('Special Help Table'!$A559,SEARCH(",",'Special Help Table'!$A559)+1,(SEARCH(";",'Special Help Table'!$A559)-1)-SEARCH(",",'Special Help Table'!$A559))&amp;" "&amp;LEFT('Special Help Table'!$A559,SEARCH(",",'Special Help Table'!$A559)-1)&amp;";"&amp;RIGHT('Special Help Table'!$A559,LEN('Special Help Table'!$A559)-SEARCH(",",'Special Help Table'!$A559,SEARCH(";",'Special Help Table'!$A559)))&amp;" "&amp;MID('Special Help Table'!$A559,SEARCH("; ",'Special Help Table'!$A559)+2,SEARCH(",",'Special Help Table'!$A559,SEARCH(";",'Special Help Table'!$A559))-SEARCH(";",'Special Help Table'!$A559)-2),AND(LEN('Special Help Table'!$A559)-LEN(SUBSTITUTE('Special Help Table'!$A559,"and ",""))=0,LEN('Special Help Table'!$A559)-LEN(SUBSTITUTE('Special Help Table'!$A559,";",""))=0),'Special Help Table'!$A559,AND(LEN('Special Help Table'!$A559)-LEN(SUBSTITUTE('Special Help Table'!$A559,",","")=1),LEN('Special Help Table'!$A559)-LEN(SUBSTITUTE('Special Help Table'!$A559," ","")=20),LEN('Special Help Table'!$A559)-LEN(SUBSTITUTE('Special Help Table'!$A559," and",""))=0,LEN('Special Help Table'!$A559)-LEN(SUBSTITUTE('Special Help Table'!$A559,",","",FIND(" ",'Special Help Table'!$A559)+1))=0),RIGHT('Special Help Table'!$A559,LEN('Special Help Table'!$A559)-FIND(", ",'Special Help Table'!$A559))&amp;" "&amp;LEFT('Special Help Table'!$A559,FIND(",",'Special Help Table'!$A559)-1),AND(LEN('Special Help Table'!$A559)-LEN(SUBSTITUTE('Special Help Table'!$A559,"editor",""))=6,LEN('Special Help Table'!$A559)-LEN(SUBSTITUTE('Special Help Table'!$A559,"(",""))=0,LEN('Special Help Table'!$A559)-LEN(SUBSTITUTE('Special Help Table'!$A559,"and",""))=3,LEN('Special Help Table'!$A559)-LEN(SUBSTITUTE('Special Help Table'!$A559,",",""))=1,LEN('Special Help Table'!$A559)-LEN(SUBSTITUTE('Special Help Table'!$A559," ",""))=3),'Special Help Table'!$A559)</f>
        <v xml:space="preserve"> Alicia Petersen</v>
      </c>
      <c r="C559" s="4" t="s">
        <v>1068</v>
      </c>
      <c r="D559" s="2"/>
      <c r="E559" s="2" t="s">
        <v>16</v>
      </c>
      <c r="F559" s="2" t="s">
        <v>72</v>
      </c>
      <c r="G559" s="2"/>
      <c r="H559" s="2"/>
      <c r="I559" s="2"/>
      <c r="J559" s="2"/>
      <c r="K559" s="3">
        <v>41011</v>
      </c>
      <c r="L559" s="2"/>
      <c r="M559" s="2"/>
      <c r="N559" s="2" t="s">
        <v>18</v>
      </c>
    </row>
    <row r="560" spans="1:14" ht="15.75" customHeight="1" x14ac:dyDescent="0.35">
      <c r="A560" s="2" t="s">
        <v>1067</v>
      </c>
      <c r="B560" s="2" t="str" cm="1">
        <f t="array" ref="B560">_xlfn.IFS(AND(LEN('Special Help Table'!$A560)-(LEN(SUBSTITUTE('Special Help Table'!$A560,";","")))=0,LEN('Special Help Table'!$A560)-LEN(SUBSTITUTE('Special Help Table'!$A560,",",""))=1,LEN('Special Help Table'!$A560)-LEN(SUBSTITUTE('Special Help Table'!$A560,"and ",""))=0),MID('Special Help Table'!$A560&amp;" "&amp;'Special Help Table'!$A560,SEARCH(", ",'Special Help Table'!$A560)+1,LEN('Special Help Table'!$A560)),AND(LEN('Special Help Table'!$A560)-(LEN(SUBSTITUTE('Special Help Table'!$A560,";","")))=1,LEN('Special Help Table'!$A560)-LEN(SUBSTITUTE('Special Help Table'!$A560,"and ",""))=0),MID('Special Help Table'!$A560,SEARCH(",",'Special Help Table'!$A560)+1,(SEARCH(";",'Special Help Table'!$A560)-1)-SEARCH(",",'Special Help Table'!$A560))&amp;" "&amp;LEFT('Special Help Table'!$A560,SEARCH(",",'Special Help Table'!$A560)-1)&amp;";"&amp;RIGHT('Special Help Table'!$A560,LEN('Special Help Table'!$A560)-SEARCH(",",'Special Help Table'!$A560,SEARCH(";",'Special Help Table'!$A560)))&amp;" "&amp;MID('Special Help Table'!$A560,SEARCH("; ",'Special Help Table'!$A560)+2,SEARCH(",",'Special Help Table'!$A560,SEARCH(";",'Special Help Table'!$A560))-SEARCH(";",'Special Help Table'!$A560)-2),AND(LEN('Special Help Table'!$A560)-LEN(SUBSTITUTE('Special Help Table'!$A560,"and ",""))=0,LEN('Special Help Table'!$A560)-LEN(SUBSTITUTE('Special Help Table'!$A560,";",""))=0),'Special Help Table'!$A560,AND(LEN('Special Help Table'!$A560)-LEN(SUBSTITUTE('Special Help Table'!$A560,",","")=1),LEN('Special Help Table'!$A560)-LEN(SUBSTITUTE('Special Help Table'!$A560," ","")=20),LEN('Special Help Table'!$A560)-LEN(SUBSTITUTE('Special Help Table'!$A560," and",""))=0,LEN('Special Help Table'!$A560)-LEN(SUBSTITUTE('Special Help Table'!$A560,",","",FIND(" ",'Special Help Table'!$A560)+1))=0),RIGHT('Special Help Table'!$A560,LEN('Special Help Table'!$A560)-FIND(", ",'Special Help Table'!$A560))&amp;" "&amp;LEFT('Special Help Table'!$A560,FIND(",",'Special Help Table'!$A560)-1),AND(LEN('Special Help Table'!$A560)-LEN(SUBSTITUTE('Special Help Table'!$A560,"editor",""))=6,LEN('Special Help Table'!$A560)-LEN(SUBSTITUTE('Special Help Table'!$A560,"(",""))=0,LEN('Special Help Table'!$A560)-LEN(SUBSTITUTE('Special Help Table'!$A560,"and",""))=3,LEN('Special Help Table'!$A560)-LEN(SUBSTITUTE('Special Help Table'!$A560,",",""))=1,LEN('Special Help Table'!$A560)-LEN(SUBSTITUTE('Special Help Table'!$A560," ",""))=3),'Special Help Table'!$A560)</f>
        <v xml:space="preserve"> Alicia Petersen</v>
      </c>
      <c r="C560" s="4" t="s">
        <v>1069</v>
      </c>
      <c r="D560" s="2"/>
      <c r="E560" s="2" t="s">
        <v>16</v>
      </c>
      <c r="F560" s="2" t="s">
        <v>72</v>
      </c>
      <c r="G560" s="2"/>
      <c r="H560" s="2"/>
      <c r="I560" s="2"/>
      <c r="J560" s="2"/>
      <c r="K560" s="3">
        <v>41041</v>
      </c>
      <c r="L560" s="2"/>
      <c r="M560" s="2"/>
      <c r="N560" s="2" t="s">
        <v>18</v>
      </c>
    </row>
    <row r="561" spans="1:14" ht="15.75" customHeight="1" x14ac:dyDescent="0.35">
      <c r="A561" s="2" t="s">
        <v>1070</v>
      </c>
      <c r="B561" s="2" t="str" cm="1">
        <f t="array" ref="B561">_xlfn.IFS(AND(LEN('Special Help Table'!$A561)-(LEN(SUBSTITUTE('Special Help Table'!$A561,";","")))=0,LEN('Special Help Table'!$A561)-LEN(SUBSTITUTE('Special Help Table'!$A561,",",""))=1,LEN('Special Help Table'!$A561)-LEN(SUBSTITUTE('Special Help Table'!$A561,"and ",""))=0),MID('Special Help Table'!$A561&amp;" "&amp;'Special Help Table'!$A561,SEARCH(", ",'Special Help Table'!$A561)+1,LEN('Special Help Table'!$A561)),AND(LEN('Special Help Table'!$A561)-(LEN(SUBSTITUTE('Special Help Table'!$A561,";","")))=1,LEN('Special Help Table'!$A561)-LEN(SUBSTITUTE('Special Help Table'!$A561,"and ",""))=0),MID('Special Help Table'!$A561,SEARCH(",",'Special Help Table'!$A561)+1,(SEARCH(";",'Special Help Table'!$A561)-1)-SEARCH(",",'Special Help Table'!$A561))&amp;" "&amp;LEFT('Special Help Table'!$A561,SEARCH(",",'Special Help Table'!$A561)-1)&amp;";"&amp;RIGHT('Special Help Table'!$A561,LEN('Special Help Table'!$A561)-SEARCH(",",'Special Help Table'!$A561,SEARCH(";",'Special Help Table'!$A561)))&amp;" "&amp;MID('Special Help Table'!$A561,SEARCH("; ",'Special Help Table'!$A561)+2,SEARCH(",",'Special Help Table'!$A561,SEARCH(";",'Special Help Table'!$A561))-SEARCH(";",'Special Help Table'!$A561)-2),AND(LEN('Special Help Table'!$A561)-LEN(SUBSTITUTE('Special Help Table'!$A561,"and ",""))=0,LEN('Special Help Table'!$A561)-LEN(SUBSTITUTE('Special Help Table'!$A561,";",""))=0),'Special Help Table'!$A561,AND(LEN('Special Help Table'!$A561)-LEN(SUBSTITUTE('Special Help Table'!$A561,",","")=1),LEN('Special Help Table'!$A561)-LEN(SUBSTITUTE('Special Help Table'!$A561," ","")=20),LEN('Special Help Table'!$A561)-LEN(SUBSTITUTE('Special Help Table'!$A561," and",""))=0,LEN('Special Help Table'!$A561)-LEN(SUBSTITUTE('Special Help Table'!$A561,",","",FIND(" ",'Special Help Table'!$A561)+1))=0),RIGHT('Special Help Table'!$A561,LEN('Special Help Table'!$A561)-FIND(", ",'Special Help Table'!$A561))&amp;" "&amp;LEFT('Special Help Table'!$A561,FIND(",",'Special Help Table'!$A561)-1),AND(LEN('Special Help Table'!$A561)-LEN(SUBSTITUTE('Special Help Table'!$A561,"editor",""))=6,LEN('Special Help Table'!$A561)-LEN(SUBSTITUTE('Special Help Table'!$A561,"(",""))=0,LEN('Special Help Table'!$A561)-LEN(SUBSTITUTE('Special Help Table'!$A561,"and",""))=3,LEN('Special Help Table'!$A561)-LEN(SUBSTITUTE('Special Help Table'!$A561,",",""))=1,LEN('Special Help Table'!$A561)-LEN(SUBSTITUTE('Special Help Table'!$A561," ",""))=3),'Special Help Table'!$A561)</f>
        <v xml:space="preserve"> Robert A. Peterson</v>
      </c>
      <c r="C561" s="4" t="s">
        <v>1071</v>
      </c>
      <c r="D561" s="2" t="s">
        <v>1072</v>
      </c>
      <c r="E561" s="2" t="s">
        <v>16</v>
      </c>
      <c r="F561" s="2" t="s">
        <v>28</v>
      </c>
      <c r="G561" s="2"/>
      <c r="H561" s="2"/>
      <c r="I561" s="2"/>
      <c r="J561" s="2" t="s">
        <v>1073</v>
      </c>
      <c r="K561" s="3">
        <v>42705</v>
      </c>
      <c r="L561" s="2"/>
      <c r="M561" s="2"/>
      <c r="N561" s="2" t="s">
        <v>18</v>
      </c>
    </row>
    <row r="562" spans="1:14" ht="15.75" customHeight="1" x14ac:dyDescent="0.35">
      <c r="A562" s="2" t="s">
        <v>1074</v>
      </c>
      <c r="B562" s="2" t="str" cm="1">
        <f t="array" ref="B562">_xlfn.IFS(AND(LEN('Special Help Table'!$A562)-(LEN(SUBSTITUTE('Special Help Table'!$A562,";","")))=0,LEN('Special Help Table'!$A562)-LEN(SUBSTITUTE('Special Help Table'!$A562,",",""))=1,LEN('Special Help Table'!$A562)-LEN(SUBSTITUTE('Special Help Table'!$A562,"and ",""))=0),MID('Special Help Table'!$A562&amp;" "&amp;'Special Help Table'!$A562,SEARCH(", ",'Special Help Table'!$A562)+1,LEN('Special Help Table'!$A562)),AND(LEN('Special Help Table'!$A562)-(LEN(SUBSTITUTE('Special Help Table'!$A562,";","")))=1,LEN('Special Help Table'!$A562)-LEN(SUBSTITUTE('Special Help Table'!$A562,"and ",""))=0),MID('Special Help Table'!$A562,SEARCH(",",'Special Help Table'!$A562)+1,(SEARCH(";",'Special Help Table'!$A562)-1)-SEARCH(",",'Special Help Table'!$A562))&amp;" "&amp;LEFT('Special Help Table'!$A562,SEARCH(",",'Special Help Table'!$A562)-1)&amp;";"&amp;RIGHT('Special Help Table'!$A562,LEN('Special Help Table'!$A562)-SEARCH(",",'Special Help Table'!$A562,SEARCH(";",'Special Help Table'!$A562)))&amp;" "&amp;MID('Special Help Table'!$A562,SEARCH("; ",'Special Help Table'!$A562)+2,SEARCH(",",'Special Help Table'!$A562,SEARCH(";",'Special Help Table'!$A562))-SEARCH(";",'Special Help Table'!$A562)-2),AND(LEN('Special Help Table'!$A562)-LEN(SUBSTITUTE('Special Help Table'!$A562,"and ",""))=0,LEN('Special Help Table'!$A562)-LEN(SUBSTITUTE('Special Help Table'!$A562,";",""))=0),'Special Help Table'!$A562,AND(LEN('Special Help Table'!$A562)-LEN(SUBSTITUTE('Special Help Table'!$A562,",","")=1),LEN('Special Help Table'!$A562)-LEN(SUBSTITUTE('Special Help Table'!$A562," ","")=20),LEN('Special Help Table'!$A562)-LEN(SUBSTITUTE('Special Help Table'!$A562," and",""))=0,LEN('Special Help Table'!$A562)-LEN(SUBSTITUTE('Special Help Table'!$A562,",","",FIND(" ",'Special Help Table'!$A562)+1))=0),RIGHT('Special Help Table'!$A562,LEN('Special Help Table'!$A562)-FIND(", ",'Special Help Table'!$A562))&amp;" "&amp;LEFT('Special Help Table'!$A562,FIND(",",'Special Help Table'!$A562)-1),AND(LEN('Special Help Table'!$A562)-LEN(SUBSTITUTE('Special Help Table'!$A562,"editor",""))=6,LEN('Special Help Table'!$A562)-LEN(SUBSTITUTE('Special Help Table'!$A562,"(",""))=0,LEN('Special Help Table'!$A562)-LEN(SUBSTITUTE('Special Help Table'!$A562,"and",""))=3,LEN('Special Help Table'!$A562)-LEN(SUBSTITUTE('Special Help Table'!$A562,",",""))=1,LEN('Special Help Table'!$A562)-LEN(SUBSTITUTE('Special Help Table'!$A562," ",""))=3),'Special Help Table'!$A562)</f>
        <v xml:space="preserve"> James C. Petty</v>
      </c>
      <c r="C562" s="4" t="s">
        <v>1075</v>
      </c>
      <c r="D562" s="2"/>
      <c r="E562" s="2" t="s">
        <v>16</v>
      </c>
      <c r="F562" s="2" t="s">
        <v>36</v>
      </c>
      <c r="G562" s="2"/>
      <c r="H562" s="2"/>
      <c r="I562" s="2"/>
      <c r="J562" s="2"/>
      <c r="K562" s="3">
        <v>41591</v>
      </c>
      <c r="L562" s="2"/>
      <c r="M562" s="2"/>
      <c r="N562" s="2" t="s">
        <v>18</v>
      </c>
    </row>
    <row r="563" spans="1:14" ht="15.75" customHeight="1" x14ac:dyDescent="0.35">
      <c r="A563" s="2" t="s">
        <v>1076</v>
      </c>
      <c r="B563" s="2" t="str" cm="1">
        <f t="array" ref="B563">_xlfn.IFS(AND(LEN('Special Help Table'!$A563)-(LEN(SUBSTITUTE('Special Help Table'!$A563,";","")))=0,LEN('Special Help Table'!$A563)-LEN(SUBSTITUTE('Special Help Table'!$A563,",",""))=1,LEN('Special Help Table'!$A563)-LEN(SUBSTITUTE('Special Help Table'!$A563,"and ",""))=0),MID('Special Help Table'!$A563&amp;" "&amp;'Special Help Table'!$A563,SEARCH(", ",'Special Help Table'!$A563)+1,LEN('Special Help Table'!$A563)),AND(LEN('Special Help Table'!$A563)-(LEN(SUBSTITUTE('Special Help Table'!$A563,";","")))=1,LEN('Special Help Table'!$A563)-LEN(SUBSTITUTE('Special Help Table'!$A563,"and ",""))=0),MID('Special Help Table'!$A563,SEARCH(",",'Special Help Table'!$A563)+1,(SEARCH(";",'Special Help Table'!$A563)-1)-SEARCH(",",'Special Help Table'!$A563))&amp;" "&amp;LEFT('Special Help Table'!$A563,SEARCH(",",'Special Help Table'!$A563)-1)&amp;";"&amp;RIGHT('Special Help Table'!$A563,LEN('Special Help Table'!$A563)-SEARCH(",",'Special Help Table'!$A563,SEARCH(";",'Special Help Table'!$A563)))&amp;" "&amp;MID('Special Help Table'!$A563,SEARCH("; ",'Special Help Table'!$A563)+2,SEARCH(",",'Special Help Table'!$A563,SEARCH(";",'Special Help Table'!$A563))-SEARCH(";",'Special Help Table'!$A563)-2),AND(LEN('Special Help Table'!$A563)-LEN(SUBSTITUTE('Special Help Table'!$A563,"and ",""))=0,LEN('Special Help Table'!$A563)-LEN(SUBSTITUTE('Special Help Table'!$A563,";",""))=0),'Special Help Table'!$A563,AND(LEN('Special Help Table'!$A563)-LEN(SUBSTITUTE('Special Help Table'!$A563,",","")=1),LEN('Special Help Table'!$A563)-LEN(SUBSTITUTE('Special Help Table'!$A563," ","")=20),LEN('Special Help Table'!$A563)-LEN(SUBSTITUTE('Special Help Table'!$A563," and",""))=0,LEN('Special Help Table'!$A563)-LEN(SUBSTITUTE('Special Help Table'!$A563,",","",FIND(" ",'Special Help Table'!$A563)+1))=0),RIGHT('Special Help Table'!$A563,LEN('Special Help Table'!$A563)-FIND(", ",'Special Help Table'!$A563))&amp;" "&amp;LEFT('Special Help Table'!$A563,FIND(",",'Special Help Table'!$A563)-1),AND(LEN('Special Help Table'!$A563)-LEN(SUBSTITUTE('Special Help Table'!$A563,"editor",""))=6,LEN('Special Help Table'!$A563)-LEN(SUBSTITUTE('Special Help Table'!$A563,"(",""))=0,LEN('Special Help Table'!$A563)-LEN(SUBSTITUTE('Special Help Table'!$A563,"and",""))=3,LEN('Special Help Table'!$A563)-LEN(SUBSTITUTE('Special Help Table'!$A563,",",""))=1,LEN('Special Help Table'!$A563)-LEN(SUBSTITUTE('Special Help Table'!$A563," ",""))=3),'Special Help Table'!$A563)</f>
        <v xml:space="preserve"> Richard D. Phillips</v>
      </c>
      <c r="C563" s="4" t="s">
        <v>1077</v>
      </c>
      <c r="D563" s="2"/>
      <c r="E563" s="2" t="s">
        <v>16</v>
      </c>
      <c r="F563" s="2" t="s">
        <v>28</v>
      </c>
      <c r="G563" s="2"/>
      <c r="H563" s="2"/>
      <c r="I563" s="2"/>
      <c r="J563" s="2" t="s">
        <v>1078</v>
      </c>
      <c r="K563" s="3">
        <v>43832</v>
      </c>
      <c r="L563" s="2"/>
      <c r="M563" s="2"/>
      <c r="N563" s="2" t="s">
        <v>18</v>
      </c>
    </row>
    <row r="564" spans="1:14" ht="15.75" customHeight="1" x14ac:dyDescent="0.35">
      <c r="A564" s="2" t="s">
        <v>1076</v>
      </c>
      <c r="B564" s="2" t="str" cm="1">
        <f t="array" ref="B564">_xlfn.IFS(AND(LEN('Special Help Table'!$A564)-(LEN(SUBSTITUTE('Special Help Table'!$A564,";","")))=0,LEN('Special Help Table'!$A564)-LEN(SUBSTITUTE('Special Help Table'!$A564,",",""))=1,LEN('Special Help Table'!$A564)-LEN(SUBSTITUTE('Special Help Table'!$A564,"and ",""))=0),MID('Special Help Table'!$A564&amp;" "&amp;'Special Help Table'!$A564,SEARCH(", ",'Special Help Table'!$A564)+1,LEN('Special Help Table'!$A564)),AND(LEN('Special Help Table'!$A564)-(LEN(SUBSTITUTE('Special Help Table'!$A564,";","")))=1,LEN('Special Help Table'!$A564)-LEN(SUBSTITUTE('Special Help Table'!$A564,"and ",""))=0),MID('Special Help Table'!$A564,SEARCH(",",'Special Help Table'!$A564)+1,(SEARCH(";",'Special Help Table'!$A564)-1)-SEARCH(",",'Special Help Table'!$A564))&amp;" "&amp;LEFT('Special Help Table'!$A564,SEARCH(",",'Special Help Table'!$A564)-1)&amp;";"&amp;RIGHT('Special Help Table'!$A564,LEN('Special Help Table'!$A564)-SEARCH(",",'Special Help Table'!$A564,SEARCH(";",'Special Help Table'!$A564)))&amp;" "&amp;MID('Special Help Table'!$A564,SEARCH("; ",'Special Help Table'!$A564)+2,SEARCH(",",'Special Help Table'!$A564,SEARCH(";",'Special Help Table'!$A564))-SEARCH(";",'Special Help Table'!$A564)-2),AND(LEN('Special Help Table'!$A564)-LEN(SUBSTITUTE('Special Help Table'!$A564,"and ",""))=0,LEN('Special Help Table'!$A564)-LEN(SUBSTITUTE('Special Help Table'!$A564,";",""))=0),'Special Help Table'!$A564,AND(LEN('Special Help Table'!$A564)-LEN(SUBSTITUTE('Special Help Table'!$A564,",","")=1),LEN('Special Help Table'!$A564)-LEN(SUBSTITUTE('Special Help Table'!$A564," ","")=20),LEN('Special Help Table'!$A564)-LEN(SUBSTITUTE('Special Help Table'!$A564," and",""))=0,LEN('Special Help Table'!$A564)-LEN(SUBSTITUTE('Special Help Table'!$A564,",","",FIND(" ",'Special Help Table'!$A564)+1))=0),RIGHT('Special Help Table'!$A564,LEN('Special Help Table'!$A564)-FIND(", ",'Special Help Table'!$A564))&amp;" "&amp;LEFT('Special Help Table'!$A564,FIND(",",'Special Help Table'!$A564)-1),AND(LEN('Special Help Table'!$A564)-LEN(SUBSTITUTE('Special Help Table'!$A564,"editor",""))=6,LEN('Special Help Table'!$A564)-LEN(SUBSTITUTE('Special Help Table'!$A564,"(",""))=0,LEN('Special Help Table'!$A564)-LEN(SUBSTITUTE('Special Help Table'!$A564,"and",""))=3,LEN('Special Help Table'!$A564)-LEN(SUBSTITUTE('Special Help Table'!$A564,",",""))=1,LEN('Special Help Table'!$A564)-LEN(SUBSTITUTE('Special Help Table'!$A564," ",""))=3),'Special Help Table'!$A564)</f>
        <v xml:space="preserve"> Richard D. Phillips</v>
      </c>
      <c r="C564" s="4" t="s">
        <v>1079</v>
      </c>
      <c r="D564" s="2"/>
      <c r="E564" s="2" t="s">
        <v>16</v>
      </c>
      <c r="F564" s="2" t="s">
        <v>17</v>
      </c>
      <c r="G564" s="2"/>
      <c r="H564" s="2"/>
      <c r="I564" s="2"/>
      <c r="J564" s="2" t="s">
        <v>1080</v>
      </c>
      <c r="K564" s="3">
        <v>42582</v>
      </c>
      <c r="L564" s="2"/>
      <c r="M564" s="2"/>
      <c r="N564" s="2" t="s">
        <v>18</v>
      </c>
    </row>
    <row r="565" spans="1:14" ht="15.75" customHeight="1" x14ac:dyDescent="0.35">
      <c r="A565" s="2" t="s">
        <v>1076</v>
      </c>
      <c r="B565" s="2" t="str" cm="1">
        <f t="array" ref="B565">_xlfn.IFS(AND(LEN('Special Help Table'!$A565)-(LEN(SUBSTITUTE('Special Help Table'!$A565,";","")))=0,LEN('Special Help Table'!$A565)-LEN(SUBSTITUTE('Special Help Table'!$A565,",",""))=1,LEN('Special Help Table'!$A565)-LEN(SUBSTITUTE('Special Help Table'!$A565,"and ",""))=0),MID('Special Help Table'!$A565&amp;" "&amp;'Special Help Table'!$A565,SEARCH(", ",'Special Help Table'!$A565)+1,LEN('Special Help Table'!$A565)),AND(LEN('Special Help Table'!$A565)-(LEN(SUBSTITUTE('Special Help Table'!$A565,";","")))=1,LEN('Special Help Table'!$A565)-LEN(SUBSTITUTE('Special Help Table'!$A565,"and ",""))=0),MID('Special Help Table'!$A565,SEARCH(",",'Special Help Table'!$A565)+1,(SEARCH(";",'Special Help Table'!$A565)-1)-SEARCH(",",'Special Help Table'!$A565))&amp;" "&amp;LEFT('Special Help Table'!$A565,SEARCH(",",'Special Help Table'!$A565)-1)&amp;";"&amp;RIGHT('Special Help Table'!$A565,LEN('Special Help Table'!$A565)-SEARCH(",",'Special Help Table'!$A565,SEARCH(";",'Special Help Table'!$A565)))&amp;" "&amp;MID('Special Help Table'!$A565,SEARCH("; ",'Special Help Table'!$A565)+2,SEARCH(",",'Special Help Table'!$A565,SEARCH(";",'Special Help Table'!$A565))-SEARCH(";",'Special Help Table'!$A565)-2),AND(LEN('Special Help Table'!$A565)-LEN(SUBSTITUTE('Special Help Table'!$A565,"and ",""))=0,LEN('Special Help Table'!$A565)-LEN(SUBSTITUTE('Special Help Table'!$A565,";",""))=0),'Special Help Table'!$A565,AND(LEN('Special Help Table'!$A565)-LEN(SUBSTITUTE('Special Help Table'!$A565,",","")=1),LEN('Special Help Table'!$A565)-LEN(SUBSTITUTE('Special Help Table'!$A565," ","")=20),LEN('Special Help Table'!$A565)-LEN(SUBSTITUTE('Special Help Table'!$A565," and",""))=0,LEN('Special Help Table'!$A565)-LEN(SUBSTITUTE('Special Help Table'!$A565,",","",FIND(" ",'Special Help Table'!$A565)+1))=0),RIGHT('Special Help Table'!$A565,LEN('Special Help Table'!$A565)-FIND(", ",'Special Help Table'!$A565))&amp;" "&amp;LEFT('Special Help Table'!$A565,FIND(",",'Special Help Table'!$A565)-1),AND(LEN('Special Help Table'!$A565)-LEN(SUBSTITUTE('Special Help Table'!$A565,"editor",""))=6,LEN('Special Help Table'!$A565)-LEN(SUBSTITUTE('Special Help Table'!$A565,"(",""))=0,LEN('Special Help Table'!$A565)-LEN(SUBSTITUTE('Special Help Table'!$A565,"and",""))=3,LEN('Special Help Table'!$A565)-LEN(SUBSTITUTE('Special Help Table'!$A565,",",""))=1,LEN('Special Help Table'!$A565)-LEN(SUBSTITUTE('Special Help Table'!$A565," ",""))=3),'Special Help Table'!$A565)</f>
        <v xml:space="preserve"> Richard D. Phillips</v>
      </c>
      <c r="C565" s="4" t="s">
        <v>1081</v>
      </c>
      <c r="D565" s="2" t="s">
        <v>1082</v>
      </c>
      <c r="E565" s="2" t="s">
        <v>16</v>
      </c>
      <c r="F565" s="2" t="s">
        <v>113</v>
      </c>
      <c r="G565" s="2"/>
      <c r="H565" s="2"/>
      <c r="I565" s="2"/>
      <c r="J565" s="2"/>
      <c r="K565" s="3"/>
      <c r="L565" s="2"/>
      <c r="M565" s="2"/>
      <c r="N565" s="2" t="s">
        <v>18</v>
      </c>
    </row>
    <row r="566" spans="1:14" ht="15.75" customHeight="1" x14ac:dyDescent="0.35">
      <c r="A566" s="2" t="s">
        <v>1076</v>
      </c>
      <c r="B566" s="2" t="str" cm="1">
        <f t="array" ref="B566">_xlfn.IFS(AND(LEN('Special Help Table'!$A566)-(LEN(SUBSTITUTE('Special Help Table'!$A566,";","")))=0,LEN('Special Help Table'!$A566)-LEN(SUBSTITUTE('Special Help Table'!$A566,",",""))=1,LEN('Special Help Table'!$A566)-LEN(SUBSTITUTE('Special Help Table'!$A566,"and ",""))=0),MID('Special Help Table'!$A566&amp;" "&amp;'Special Help Table'!$A566,SEARCH(", ",'Special Help Table'!$A566)+1,LEN('Special Help Table'!$A566)),AND(LEN('Special Help Table'!$A566)-(LEN(SUBSTITUTE('Special Help Table'!$A566,";","")))=1,LEN('Special Help Table'!$A566)-LEN(SUBSTITUTE('Special Help Table'!$A566,"and ",""))=0),MID('Special Help Table'!$A566,SEARCH(",",'Special Help Table'!$A566)+1,(SEARCH(";",'Special Help Table'!$A566)-1)-SEARCH(",",'Special Help Table'!$A566))&amp;" "&amp;LEFT('Special Help Table'!$A566,SEARCH(",",'Special Help Table'!$A566)-1)&amp;";"&amp;RIGHT('Special Help Table'!$A566,LEN('Special Help Table'!$A566)-SEARCH(",",'Special Help Table'!$A566,SEARCH(";",'Special Help Table'!$A566)))&amp;" "&amp;MID('Special Help Table'!$A566,SEARCH("; ",'Special Help Table'!$A566)+2,SEARCH(",",'Special Help Table'!$A566,SEARCH(";",'Special Help Table'!$A566))-SEARCH(";",'Special Help Table'!$A566)-2),AND(LEN('Special Help Table'!$A566)-LEN(SUBSTITUTE('Special Help Table'!$A566,"and ",""))=0,LEN('Special Help Table'!$A566)-LEN(SUBSTITUTE('Special Help Table'!$A566,";",""))=0),'Special Help Table'!$A566,AND(LEN('Special Help Table'!$A566)-LEN(SUBSTITUTE('Special Help Table'!$A566,",","")=1),LEN('Special Help Table'!$A566)-LEN(SUBSTITUTE('Special Help Table'!$A566," ","")=20),LEN('Special Help Table'!$A566)-LEN(SUBSTITUTE('Special Help Table'!$A566," and",""))=0,LEN('Special Help Table'!$A566)-LEN(SUBSTITUTE('Special Help Table'!$A566,",","",FIND(" ",'Special Help Table'!$A566)+1))=0),RIGHT('Special Help Table'!$A566,LEN('Special Help Table'!$A566)-FIND(", ",'Special Help Table'!$A566))&amp;" "&amp;LEFT('Special Help Table'!$A566,FIND(",",'Special Help Table'!$A566)-1),AND(LEN('Special Help Table'!$A566)-LEN(SUBSTITUTE('Special Help Table'!$A566,"editor",""))=6,LEN('Special Help Table'!$A566)-LEN(SUBSTITUTE('Special Help Table'!$A566,"(",""))=0,LEN('Special Help Table'!$A566)-LEN(SUBSTITUTE('Special Help Table'!$A566,"and",""))=3,LEN('Special Help Table'!$A566)-LEN(SUBSTITUTE('Special Help Table'!$A566,",",""))=1,LEN('Special Help Table'!$A566)-LEN(SUBSTITUTE('Special Help Table'!$A566," ",""))=3),'Special Help Table'!$A566)</f>
        <v xml:space="preserve"> Richard D. Phillips</v>
      </c>
      <c r="C566" s="4" t="s">
        <v>1083</v>
      </c>
      <c r="D566" s="2"/>
      <c r="E566" s="2" t="s">
        <v>16</v>
      </c>
      <c r="F566" s="2" t="s">
        <v>28</v>
      </c>
      <c r="G566" s="2"/>
      <c r="H566" s="2"/>
      <c r="I566" s="2"/>
      <c r="J566" s="2"/>
      <c r="K566" s="3"/>
      <c r="L566" s="2"/>
      <c r="M566" s="2"/>
      <c r="N566" s="2" t="s">
        <v>18</v>
      </c>
    </row>
    <row r="567" spans="1:14" ht="15.75" customHeight="1" x14ac:dyDescent="0.35">
      <c r="A567" s="2" t="s">
        <v>1084</v>
      </c>
      <c r="B567" s="2" t="str" cm="1">
        <f t="array" ref="B567">_xlfn.IFS(AND(LEN('Special Help Table'!$A567)-(LEN(SUBSTITUTE('Special Help Table'!$A567,";","")))=0,LEN('Special Help Table'!$A567)-LEN(SUBSTITUTE('Special Help Table'!$A567,",",""))=1,LEN('Special Help Table'!$A567)-LEN(SUBSTITUTE('Special Help Table'!$A567,"and ",""))=0),MID('Special Help Table'!$A567&amp;" "&amp;'Special Help Table'!$A567,SEARCH(", ",'Special Help Table'!$A567)+1,LEN('Special Help Table'!$A567)),AND(LEN('Special Help Table'!$A567)-(LEN(SUBSTITUTE('Special Help Table'!$A567,";","")))=1,LEN('Special Help Table'!$A567)-LEN(SUBSTITUTE('Special Help Table'!$A567,"and ",""))=0),MID('Special Help Table'!$A567,SEARCH(",",'Special Help Table'!$A567)+1,(SEARCH(";",'Special Help Table'!$A567)-1)-SEARCH(",",'Special Help Table'!$A567))&amp;" "&amp;LEFT('Special Help Table'!$A567,SEARCH(",",'Special Help Table'!$A567)-1)&amp;";"&amp;RIGHT('Special Help Table'!$A567,LEN('Special Help Table'!$A567)-SEARCH(",",'Special Help Table'!$A567,SEARCH(";",'Special Help Table'!$A567)))&amp;" "&amp;MID('Special Help Table'!$A567,SEARCH("; ",'Special Help Table'!$A567)+2,SEARCH(",",'Special Help Table'!$A567,SEARCH(";",'Special Help Table'!$A567))-SEARCH(";",'Special Help Table'!$A567)-2),AND(LEN('Special Help Table'!$A567)-LEN(SUBSTITUTE('Special Help Table'!$A567,"and ",""))=0,LEN('Special Help Table'!$A567)-LEN(SUBSTITUTE('Special Help Table'!$A567,";",""))=0),'Special Help Table'!$A567,AND(LEN('Special Help Table'!$A567)-LEN(SUBSTITUTE('Special Help Table'!$A567,",","")=1),LEN('Special Help Table'!$A567)-LEN(SUBSTITUTE('Special Help Table'!$A567," ","")=20),LEN('Special Help Table'!$A567)-LEN(SUBSTITUTE('Special Help Table'!$A567," and",""))=0,LEN('Special Help Table'!$A567)-LEN(SUBSTITUTE('Special Help Table'!$A567,",","",FIND(" ",'Special Help Table'!$A567)+1))=0),RIGHT('Special Help Table'!$A567,LEN('Special Help Table'!$A567)-FIND(", ",'Special Help Table'!$A567))&amp;" "&amp;LEFT('Special Help Table'!$A567,FIND(",",'Special Help Table'!$A567)-1),AND(LEN('Special Help Table'!$A567)-LEN(SUBSTITUTE('Special Help Table'!$A567,"editor",""))=6,LEN('Special Help Table'!$A567)-LEN(SUBSTITUTE('Special Help Table'!$A567,"(",""))=0,LEN('Special Help Table'!$A567)-LEN(SUBSTITUTE('Special Help Table'!$A567,"and",""))=3,LEN('Special Help Table'!$A567)-LEN(SUBSTITUTE('Special Help Table'!$A567,",",""))=1,LEN('Special Help Table'!$A567)-LEN(SUBSTITUTE('Special Help Table'!$A567," ",""))=3),'Special Help Table'!$A567)</f>
        <v xml:space="preserve"> Kent Philpot</v>
      </c>
      <c r="C567" s="4" t="s">
        <v>1085</v>
      </c>
      <c r="D567" s="2"/>
      <c r="E567" s="2" t="s">
        <v>16</v>
      </c>
      <c r="F567" s="2" t="s">
        <v>20</v>
      </c>
      <c r="G567" s="2"/>
      <c r="H567" s="2"/>
      <c r="I567" s="2"/>
      <c r="J567" s="2"/>
      <c r="K567" s="3">
        <v>40054</v>
      </c>
      <c r="L567" s="2"/>
      <c r="M567" s="2"/>
      <c r="N567" s="2" t="s">
        <v>18</v>
      </c>
    </row>
    <row r="568" spans="1:14" ht="15.75" customHeight="1" x14ac:dyDescent="0.35">
      <c r="A568" s="2" t="s">
        <v>1086</v>
      </c>
      <c r="B568" s="2" t="str" cm="1">
        <f t="array" ref="B568">_xlfn.IFS(AND(LEN('Special Help Table'!$A568)-(LEN(SUBSTITUTE('Special Help Table'!$A568,";","")))=0,LEN('Special Help Table'!$A568)-LEN(SUBSTITUTE('Special Help Table'!$A568,",",""))=1,LEN('Special Help Table'!$A568)-LEN(SUBSTITUTE('Special Help Table'!$A568,"and ",""))=0),MID('Special Help Table'!$A568&amp;" "&amp;'Special Help Table'!$A568,SEARCH(", ",'Special Help Table'!$A568)+1,LEN('Special Help Table'!$A568)),AND(LEN('Special Help Table'!$A568)-(LEN(SUBSTITUTE('Special Help Table'!$A568,";","")))=1,LEN('Special Help Table'!$A568)-LEN(SUBSTITUTE('Special Help Table'!$A568,"and ",""))=0),MID('Special Help Table'!$A568,SEARCH(",",'Special Help Table'!$A568)+1,(SEARCH(";",'Special Help Table'!$A568)-1)-SEARCH(",",'Special Help Table'!$A568))&amp;" "&amp;LEFT('Special Help Table'!$A568,SEARCH(",",'Special Help Table'!$A568)-1)&amp;";"&amp;RIGHT('Special Help Table'!$A568,LEN('Special Help Table'!$A568)-SEARCH(",",'Special Help Table'!$A568,SEARCH(";",'Special Help Table'!$A568)))&amp;" "&amp;MID('Special Help Table'!$A568,SEARCH("; ",'Special Help Table'!$A568)+2,SEARCH(",",'Special Help Table'!$A568,SEARCH(";",'Special Help Table'!$A568))-SEARCH(";",'Special Help Table'!$A568)-2),AND(LEN('Special Help Table'!$A568)-LEN(SUBSTITUTE('Special Help Table'!$A568,"and ",""))=0,LEN('Special Help Table'!$A568)-LEN(SUBSTITUTE('Special Help Table'!$A568,";",""))=0),'Special Help Table'!$A568,AND(LEN('Special Help Table'!$A568)-LEN(SUBSTITUTE('Special Help Table'!$A568,",","")=1),LEN('Special Help Table'!$A568)-LEN(SUBSTITUTE('Special Help Table'!$A568," ","")=20),LEN('Special Help Table'!$A568)-LEN(SUBSTITUTE('Special Help Table'!$A568," and",""))=0,LEN('Special Help Table'!$A568)-LEN(SUBSTITUTE('Special Help Table'!$A568,",","",FIND(" ",'Special Help Table'!$A568)+1))=0),RIGHT('Special Help Table'!$A568,LEN('Special Help Table'!$A568)-FIND(", ",'Special Help Table'!$A568))&amp;" "&amp;LEFT('Special Help Table'!$A568,FIND(",",'Special Help Table'!$A568)-1),AND(LEN('Special Help Table'!$A568)-LEN(SUBSTITUTE('Special Help Table'!$A568,"editor",""))=6,LEN('Special Help Table'!$A568)-LEN(SUBSTITUTE('Special Help Table'!$A568,"(",""))=0,LEN('Special Help Table'!$A568)-LEN(SUBSTITUTE('Special Help Table'!$A568,"and",""))=3,LEN('Special Help Table'!$A568)-LEN(SUBSTITUTE('Special Help Table'!$A568,",",""))=1,LEN('Special Help Table'!$A568)-LEN(SUBSTITUTE('Special Help Table'!$A568," ",""))=3),'Special Help Table'!$A568)</f>
        <v xml:space="preserve"> Jeremy Pierre</v>
      </c>
      <c r="C568" s="4" t="s">
        <v>1087</v>
      </c>
      <c r="D568" s="2"/>
      <c r="E568" s="2" t="s">
        <v>16</v>
      </c>
      <c r="F568" s="2" t="s">
        <v>17</v>
      </c>
      <c r="G568" s="2"/>
      <c r="H568" s="2"/>
      <c r="I568" s="2"/>
      <c r="J568" s="2" t="s">
        <v>22</v>
      </c>
      <c r="K568" s="3"/>
      <c r="L568" s="2"/>
      <c r="M568" s="2"/>
      <c r="N568" s="2" t="s">
        <v>18</v>
      </c>
    </row>
    <row r="569" spans="1:14" ht="15.75" customHeight="1" x14ac:dyDescent="0.35">
      <c r="A569" s="2" t="s">
        <v>1088</v>
      </c>
      <c r="B569" s="2" t="str" cm="1">
        <f t="array" ref="B569">_xlfn.IFS(AND(LEN('Special Help Table'!$A569)-(LEN(SUBSTITUTE('Special Help Table'!$A569,";","")))=0,LEN('Special Help Table'!$A569)-LEN(SUBSTITUTE('Special Help Table'!$A569,",",""))=1,LEN('Special Help Table'!$A569)-LEN(SUBSTITUTE('Special Help Table'!$A569,"and ",""))=0),MID('Special Help Table'!$A569&amp;" "&amp;'Special Help Table'!$A569,SEARCH(", ",'Special Help Table'!$A569)+1,LEN('Special Help Table'!$A569)),AND(LEN('Special Help Table'!$A569)-(LEN(SUBSTITUTE('Special Help Table'!$A569,";","")))=1,LEN('Special Help Table'!$A569)-LEN(SUBSTITUTE('Special Help Table'!$A569,"and ",""))=0),MID('Special Help Table'!$A569,SEARCH(",",'Special Help Table'!$A569)+1,(SEARCH(";",'Special Help Table'!$A569)-1)-SEARCH(",",'Special Help Table'!$A569))&amp;" "&amp;LEFT('Special Help Table'!$A569,SEARCH(",",'Special Help Table'!$A569)-1)&amp;";"&amp;RIGHT('Special Help Table'!$A569,LEN('Special Help Table'!$A569)-SEARCH(",",'Special Help Table'!$A569,SEARCH(";",'Special Help Table'!$A569)))&amp;" "&amp;MID('Special Help Table'!$A569,SEARCH("; ",'Special Help Table'!$A569)+2,SEARCH(",",'Special Help Table'!$A569,SEARCH(";",'Special Help Table'!$A569))-SEARCH(";",'Special Help Table'!$A569)-2),AND(LEN('Special Help Table'!$A569)-LEN(SUBSTITUTE('Special Help Table'!$A569,"and ",""))=0,LEN('Special Help Table'!$A569)-LEN(SUBSTITUTE('Special Help Table'!$A569,";",""))=0),'Special Help Table'!$A569,AND(LEN('Special Help Table'!$A569)-LEN(SUBSTITUTE('Special Help Table'!$A569,",","")=1),LEN('Special Help Table'!$A569)-LEN(SUBSTITUTE('Special Help Table'!$A569," ","")=20),LEN('Special Help Table'!$A569)-LEN(SUBSTITUTE('Special Help Table'!$A569," and",""))=0,LEN('Special Help Table'!$A569)-LEN(SUBSTITUTE('Special Help Table'!$A569,",","",FIND(" ",'Special Help Table'!$A569)+1))=0),RIGHT('Special Help Table'!$A569,LEN('Special Help Table'!$A569)-FIND(", ",'Special Help Table'!$A569))&amp;" "&amp;LEFT('Special Help Table'!$A569,FIND(",",'Special Help Table'!$A569)-1),AND(LEN('Special Help Table'!$A569)-LEN(SUBSTITUTE('Special Help Table'!$A569,"editor",""))=6,LEN('Special Help Table'!$A569)-LEN(SUBSTITUTE('Special Help Table'!$A569,"(",""))=0,LEN('Special Help Table'!$A569)-LEN(SUBSTITUTE('Special Help Table'!$A569,"and",""))=3,LEN('Special Help Table'!$A569)-LEN(SUBSTITUTE('Special Help Table'!$A569,",",""))=1,LEN('Special Help Table'!$A569)-LEN(SUBSTITUTE('Special Help Table'!$A569," ",""))=3),'Special Help Table'!$A569)</f>
        <v xml:space="preserve"> John Piper</v>
      </c>
      <c r="C569" s="4" t="s">
        <v>1089</v>
      </c>
      <c r="D569" s="2"/>
      <c r="E569" s="2" t="s">
        <v>16</v>
      </c>
      <c r="F569" s="2" t="s">
        <v>39</v>
      </c>
      <c r="G569" s="2"/>
      <c r="H569" s="2"/>
      <c r="I569" s="2"/>
      <c r="J569" s="2"/>
      <c r="K569" s="3">
        <v>40055</v>
      </c>
      <c r="L569" s="2"/>
      <c r="M569" s="2"/>
      <c r="N569" s="2" t="s">
        <v>18</v>
      </c>
    </row>
    <row r="570" spans="1:14" ht="15.75" customHeight="1" x14ac:dyDescent="0.35">
      <c r="A570" s="2" t="s">
        <v>1088</v>
      </c>
      <c r="B570" s="2" t="str" cm="1">
        <f t="array" ref="B570">_xlfn.IFS(AND(LEN('Special Help Table'!$A570)-(LEN(SUBSTITUTE('Special Help Table'!$A570,";","")))=0,LEN('Special Help Table'!$A570)-LEN(SUBSTITUTE('Special Help Table'!$A570,",",""))=1,LEN('Special Help Table'!$A570)-LEN(SUBSTITUTE('Special Help Table'!$A570,"and ",""))=0),MID('Special Help Table'!$A570&amp;" "&amp;'Special Help Table'!$A570,SEARCH(", ",'Special Help Table'!$A570)+1,LEN('Special Help Table'!$A570)),AND(LEN('Special Help Table'!$A570)-(LEN(SUBSTITUTE('Special Help Table'!$A570,";","")))=1,LEN('Special Help Table'!$A570)-LEN(SUBSTITUTE('Special Help Table'!$A570,"and ",""))=0),MID('Special Help Table'!$A570,SEARCH(",",'Special Help Table'!$A570)+1,(SEARCH(";",'Special Help Table'!$A570)-1)-SEARCH(",",'Special Help Table'!$A570))&amp;" "&amp;LEFT('Special Help Table'!$A570,SEARCH(",",'Special Help Table'!$A570)-1)&amp;";"&amp;RIGHT('Special Help Table'!$A570,LEN('Special Help Table'!$A570)-SEARCH(",",'Special Help Table'!$A570,SEARCH(";",'Special Help Table'!$A570)))&amp;" "&amp;MID('Special Help Table'!$A570,SEARCH("; ",'Special Help Table'!$A570)+2,SEARCH(",",'Special Help Table'!$A570,SEARCH(";",'Special Help Table'!$A570))-SEARCH(";",'Special Help Table'!$A570)-2),AND(LEN('Special Help Table'!$A570)-LEN(SUBSTITUTE('Special Help Table'!$A570,"and ",""))=0,LEN('Special Help Table'!$A570)-LEN(SUBSTITUTE('Special Help Table'!$A570,";",""))=0),'Special Help Table'!$A570,AND(LEN('Special Help Table'!$A570)-LEN(SUBSTITUTE('Special Help Table'!$A570,",","")=1),LEN('Special Help Table'!$A570)-LEN(SUBSTITUTE('Special Help Table'!$A570," ","")=20),LEN('Special Help Table'!$A570)-LEN(SUBSTITUTE('Special Help Table'!$A570," and",""))=0,LEN('Special Help Table'!$A570)-LEN(SUBSTITUTE('Special Help Table'!$A570,",","",FIND(" ",'Special Help Table'!$A570)+1))=0),RIGHT('Special Help Table'!$A570,LEN('Special Help Table'!$A570)-FIND(", ",'Special Help Table'!$A570))&amp;" "&amp;LEFT('Special Help Table'!$A570,FIND(",",'Special Help Table'!$A570)-1),AND(LEN('Special Help Table'!$A570)-LEN(SUBSTITUTE('Special Help Table'!$A570,"editor",""))=6,LEN('Special Help Table'!$A570)-LEN(SUBSTITUTE('Special Help Table'!$A570,"(",""))=0,LEN('Special Help Table'!$A570)-LEN(SUBSTITUTE('Special Help Table'!$A570,"and",""))=3,LEN('Special Help Table'!$A570)-LEN(SUBSTITUTE('Special Help Table'!$A570,",",""))=1,LEN('Special Help Table'!$A570)-LEN(SUBSTITUTE('Special Help Table'!$A570," ",""))=3),'Special Help Table'!$A570)</f>
        <v xml:space="preserve"> John Piper</v>
      </c>
      <c r="C570" s="4" t="s">
        <v>1090</v>
      </c>
      <c r="D570" s="2"/>
      <c r="E570" s="2" t="s">
        <v>16</v>
      </c>
      <c r="F570" s="2" t="s">
        <v>36</v>
      </c>
      <c r="G570" s="2"/>
      <c r="H570" s="2"/>
      <c r="I570" s="2"/>
      <c r="J570" s="2"/>
      <c r="K570" s="3">
        <v>40056</v>
      </c>
      <c r="L570" s="2"/>
      <c r="M570" s="2"/>
      <c r="N570" s="2" t="s">
        <v>18</v>
      </c>
    </row>
    <row r="571" spans="1:14" ht="15.75" customHeight="1" x14ac:dyDescent="0.35">
      <c r="A571" s="2" t="s">
        <v>1088</v>
      </c>
      <c r="B571" s="2" t="str" cm="1">
        <f t="array" ref="B571">_xlfn.IFS(AND(LEN('Special Help Table'!$A571)-(LEN(SUBSTITUTE('Special Help Table'!$A571,";","")))=0,LEN('Special Help Table'!$A571)-LEN(SUBSTITUTE('Special Help Table'!$A571,",",""))=1,LEN('Special Help Table'!$A571)-LEN(SUBSTITUTE('Special Help Table'!$A571,"and ",""))=0),MID('Special Help Table'!$A571&amp;" "&amp;'Special Help Table'!$A571,SEARCH(", ",'Special Help Table'!$A571)+1,LEN('Special Help Table'!$A571)),AND(LEN('Special Help Table'!$A571)-(LEN(SUBSTITUTE('Special Help Table'!$A571,";","")))=1,LEN('Special Help Table'!$A571)-LEN(SUBSTITUTE('Special Help Table'!$A571,"and ",""))=0),MID('Special Help Table'!$A571,SEARCH(",",'Special Help Table'!$A571)+1,(SEARCH(";",'Special Help Table'!$A571)-1)-SEARCH(",",'Special Help Table'!$A571))&amp;" "&amp;LEFT('Special Help Table'!$A571,SEARCH(",",'Special Help Table'!$A571)-1)&amp;";"&amp;RIGHT('Special Help Table'!$A571,LEN('Special Help Table'!$A571)-SEARCH(",",'Special Help Table'!$A571,SEARCH(";",'Special Help Table'!$A571)))&amp;" "&amp;MID('Special Help Table'!$A571,SEARCH("; ",'Special Help Table'!$A571)+2,SEARCH(",",'Special Help Table'!$A571,SEARCH(";",'Special Help Table'!$A571))-SEARCH(";",'Special Help Table'!$A571)-2),AND(LEN('Special Help Table'!$A571)-LEN(SUBSTITUTE('Special Help Table'!$A571,"and ",""))=0,LEN('Special Help Table'!$A571)-LEN(SUBSTITUTE('Special Help Table'!$A571,";",""))=0),'Special Help Table'!$A571,AND(LEN('Special Help Table'!$A571)-LEN(SUBSTITUTE('Special Help Table'!$A571,",","")=1),LEN('Special Help Table'!$A571)-LEN(SUBSTITUTE('Special Help Table'!$A571," ","")=20),LEN('Special Help Table'!$A571)-LEN(SUBSTITUTE('Special Help Table'!$A571," and",""))=0,LEN('Special Help Table'!$A571)-LEN(SUBSTITUTE('Special Help Table'!$A571,",","",FIND(" ",'Special Help Table'!$A571)+1))=0),RIGHT('Special Help Table'!$A571,LEN('Special Help Table'!$A571)-FIND(", ",'Special Help Table'!$A571))&amp;" "&amp;LEFT('Special Help Table'!$A571,FIND(",",'Special Help Table'!$A571)-1),AND(LEN('Special Help Table'!$A571)-LEN(SUBSTITUTE('Special Help Table'!$A571,"editor",""))=6,LEN('Special Help Table'!$A571)-LEN(SUBSTITUTE('Special Help Table'!$A571,"(",""))=0,LEN('Special Help Table'!$A571)-LEN(SUBSTITUTE('Special Help Table'!$A571,"and",""))=3,LEN('Special Help Table'!$A571)-LEN(SUBSTITUTE('Special Help Table'!$A571,",",""))=1,LEN('Special Help Table'!$A571)-LEN(SUBSTITUTE('Special Help Table'!$A571," ",""))=3),'Special Help Table'!$A571)</f>
        <v xml:space="preserve"> John Piper</v>
      </c>
      <c r="C571" s="4" t="s">
        <v>1091</v>
      </c>
      <c r="D571" s="2"/>
      <c r="E571" s="2" t="s">
        <v>16</v>
      </c>
      <c r="F571" s="2" t="s">
        <v>36</v>
      </c>
      <c r="G571" s="2"/>
      <c r="H571" s="2"/>
      <c r="I571" s="2"/>
      <c r="J571" s="2"/>
      <c r="K571" s="3">
        <v>40034</v>
      </c>
      <c r="L571" s="2"/>
      <c r="M571" s="2"/>
      <c r="N571" s="2" t="s">
        <v>18</v>
      </c>
    </row>
    <row r="572" spans="1:14" ht="15.75" customHeight="1" x14ac:dyDescent="0.35">
      <c r="A572" s="2" t="s">
        <v>1088</v>
      </c>
      <c r="B572" s="2" t="str" cm="1">
        <f t="array" ref="B572">_xlfn.IFS(AND(LEN('Special Help Table'!$A572)-(LEN(SUBSTITUTE('Special Help Table'!$A572,";","")))=0,LEN('Special Help Table'!$A572)-LEN(SUBSTITUTE('Special Help Table'!$A572,",",""))=1,LEN('Special Help Table'!$A572)-LEN(SUBSTITUTE('Special Help Table'!$A572,"and ",""))=0),MID('Special Help Table'!$A572&amp;" "&amp;'Special Help Table'!$A572,SEARCH(", ",'Special Help Table'!$A572)+1,LEN('Special Help Table'!$A572)),AND(LEN('Special Help Table'!$A572)-(LEN(SUBSTITUTE('Special Help Table'!$A572,";","")))=1,LEN('Special Help Table'!$A572)-LEN(SUBSTITUTE('Special Help Table'!$A572,"and ",""))=0),MID('Special Help Table'!$A572,SEARCH(",",'Special Help Table'!$A572)+1,(SEARCH(";",'Special Help Table'!$A572)-1)-SEARCH(",",'Special Help Table'!$A572))&amp;" "&amp;LEFT('Special Help Table'!$A572,SEARCH(",",'Special Help Table'!$A572)-1)&amp;";"&amp;RIGHT('Special Help Table'!$A572,LEN('Special Help Table'!$A572)-SEARCH(",",'Special Help Table'!$A572,SEARCH(";",'Special Help Table'!$A572)))&amp;" "&amp;MID('Special Help Table'!$A572,SEARCH("; ",'Special Help Table'!$A572)+2,SEARCH(",",'Special Help Table'!$A572,SEARCH(";",'Special Help Table'!$A572))-SEARCH(";",'Special Help Table'!$A572)-2),AND(LEN('Special Help Table'!$A572)-LEN(SUBSTITUTE('Special Help Table'!$A572,"and ",""))=0,LEN('Special Help Table'!$A572)-LEN(SUBSTITUTE('Special Help Table'!$A572,";",""))=0),'Special Help Table'!$A572,AND(LEN('Special Help Table'!$A572)-LEN(SUBSTITUTE('Special Help Table'!$A572,",","")=1),LEN('Special Help Table'!$A572)-LEN(SUBSTITUTE('Special Help Table'!$A572," ","")=20),LEN('Special Help Table'!$A572)-LEN(SUBSTITUTE('Special Help Table'!$A572," and",""))=0,LEN('Special Help Table'!$A572)-LEN(SUBSTITUTE('Special Help Table'!$A572,",","",FIND(" ",'Special Help Table'!$A572)+1))=0),RIGHT('Special Help Table'!$A572,LEN('Special Help Table'!$A572)-FIND(", ",'Special Help Table'!$A572))&amp;" "&amp;LEFT('Special Help Table'!$A572,FIND(",",'Special Help Table'!$A572)-1),AND(LEN('Special Help Table'!$A572)-LEN(SUBSTITUTE('Special Help Table'!$A572,"editor",""))=6,LEN('Special Help Table'!$A572)-LEN(SUBSTITUTE('Special Help Table'!$A572,"(",""))=0,LEN('Special Help Table'!$A572)-LEN(SUBSTITUTE('Special Help Table'!$A572,"and",""))=3,LEN('Special Help Table'!$A572)-LEN(SUBSTITUTE('Special Help Table'!$A572,",",""))=1,LEN('Special Help Table'!$A572)-LEN(SUBSTITUTE('Special Help Table'!$A572," ",""))=3),'Special Help Table'!$A572)</f>
        <v xml:space="preserve"> John Piper</v>
      </c>
      <c r="C572" s="4" t="s">
        <v>1092</v>
      </c>
      <c r="D572" s="2"/>
      <c r="E572" s="2" t="s">
        <v>16</v>
      </c>
      <c r="F572" s="2" t="s">
        <v>126</v>
      </c>
      <c r="G572" s="2"/>
      <c r="H572" s="2"/>
      <c r="I572" s="2"/>
      <c r="J572" s="2"/>
      <c r="K572" s="3">
        <v>40035</v>
      </c>
      <c r="L572" s="2"/>
      <c r="M572" s="2"/>
      <c r="N572" s="2" t="s">
        <v>18</v>
      </c>
    </row>
    <row r="573" spans="1:14" ht="15.75" customHeight="1" x14ac:dyDescent="0.35">
      <c r="A573" s="2" t="s">
        <v>1088</v>
      </c>
      <c r="B573" s="2" t="str" cm="1">
        <f t="array" ref="B573">_xlfn.IFS(AND(LEN('Special Help Table'!$A573)-(LEN(SUBSTITUTE('Special Help Table'!$A573,";","")))=0,LEN('Special Help Table'!$A573)-LEN(SUBSTITUTE('Special Help Table'!$A573,",",""))=1,LEN('Special Help Table'!$A573)-LEN(SUBSTITUTE('Special Help Table'!$A573,"and ",""))=0),MID('Special Help Table'!$A573&amp;" "&amp;'Special Help Table'!$A573,SEARCH(", ",'Special Help Table'!$A573)+1,LEN('Special Help Table'!$A573)),AND(LEN('Special Help Table'!$A573)-(LEN(SUBSTITUTE('Special Help Table'!$A573,";","")))=1,LEN('Special Help Table'!$A573)-LEN(SUBSTITUTE('Special Help Table'!$A573,"and ",""))=0),MID('Special Help Table'!$A573,SEARCH(",",'Special Help Table'!$A573)+1,(SEARCH(";",'Special Help Table'!$A573)-1)-SEARCH(",",'Special Help Table'!$A573))&amp;" "&amp;LEFT('Special Help Table'!$A573,SEARCH(",",'Special Help Table'!$A573)-1)&amp;";"&amp;RIGHT('Special Help Table'!$A573,LEN('Special Help Table'!$A573)-SEARCH(",",'Special Help Table'!$A573,SEARCH(";",'Special Help Table'!$A573)))&amp;" "&amp;MID('Special Help Table'!$A573,SEARCH("; ",'Special Help Table'!$A573)+2,SEARCH(",",'Special Help Table'!$A573,SEARCH(";",'Special Help Table'!$A573))-SEARCH(";",'Special Help Table'!$A573)-2),AND(LEN('Special Help Table'!$A573)-LEN(SUBSTITUTE('Special Help Table'!$A573,"and ",""))=0,LEN('Special Help Table'!$A573)-LEN(SUBSTITUTE('Special Help Table'!$A573,";",""))=0),'Special Help Table'!$A573,AND(LEN('Special Help Table'!$A573)-LEN(SUBSTITUTE('Special Help Table'!$A573,",","")=1),LEN('Special Help Table'!$A573)-LEN(SUBSTITUTE('Special Help Table'!$A573," ","")=20),LEN('Special Help Table'!$A573)-LEN(SUBSTITUTE('Special Help Table'!$A573," and",""))=0,LEN('Special Help Table'!$A573)-LEN(SUBSTITUTE('Special Help Table'!$A573,",","",FIND(" ",'Special Help Table'!$A573)+1))=0),RIGHT('Special Help Table'!$A573,LEN('Special Help Table'!$A573)-FIND(", ",'Special Help Table'!$A573))&amp;" "&amp;LEFT('Special Help Table'!$A573,FIND(",",'Special Help Table'!$A573)-1),AND(LEN('Special Help Table'!$A573)-LEN(SUBSTITUTE('Special Help Table'!$A573,"editor",""))=6,LEN('Special Help Table'!$A573)-LEN(SUBSTITUTE('Special Help Table'!$A573,"(",""))=0,LEN('Special Help Table'!$A573)-LEN(SUBSTITUTE('Special Help Table'!$A573,"and",""))=3,LEN('Special Help Table'!$A573)-LEN(SUBSTITUTE('Special Help Table'!$A573,",",""))=1,LEN('Special Help Table'!$A573)-LEN(SUBSTITUTE('Special Help Table'!$A573," ",""))=3),'Special Help Table'!$A573)</f>
        <v xml:space="preserve"> John Piper</v>
      </c>
      <c r="C573" s="4" t="s">
        <v>1093</v>
      </c>
      <c r="D573" s="2"/>
      <c r="E573" s="2" t="s">
        <v>16</v>
      </c>
      <c r="F573" s="2" t="s">
        <v>39</v>
      </c>
      <c r="G573" s="2"/>
      <c r="H573" s="2"/>
      <c r="I573" s="2"/>
      <c r="J573" s="2"/>
      <c r="K573" s="3">
        <v>40036</v>
      </c>
      <c r="L573" s="2"/>
      <c r="M573" s="2"/>
      <c r="N573" s="2" t="s">
        <v>18</v>
      </c>
    </row>
    <row r="574" spans="1:14" ht="15.75" customHeight="1" x14ac:dyDescent="0.35">
      <c r="A574" s="2" t="s">
        <v>1088</v>
      </c>
      <c r="B574" s="2" t="str" cm="1">
        <f t="array" ref="B574">_xlfn.IFS(AND(LEN('Special Help Table'!$A574)-(LEN(SUBSTITUTE('Special Help Table'!$A574,";","")))=0,LEN('Special Help Table'!$A574)-LEN(SUBSTITUTE('Special Help Table'!$A574,",",""))=1,LEN('Special Help Table'!$A574)-LEN(SUBSTITUTE('Special Help Table'!$A574,"and ",""))=0),MID('Special Help Table'!$A574&amp;" "&amp;'Special Help Table'!$A574,SEARCH(", ",'Special Help Table'!$A574)+1,LEN('Special Help Table'!$A574)),AND(LEN('Special Help Table'!$A574)-(LEN(SUBSTITUTE('Special Help Table'!$A574,";","")))=1,LEN('Special Help Table'!$A574)-LEN(SUBSTITUTE('Special Help Table'!$A574,"and ",""))=0),MID('Special Help Table'!$A574,SEARCH(",",'Special Help Table'!$A574)+1,(SEARCH(";",'Special Help Table'!$A574)-1)-SEARCH(",",'Special Help Table'!$A574))&amp;" "&amp;LEFT('Special Help Table'!$A574,SEARCH(",",'Special Help Table'!$A574)-1)&amp;";"&amp;RIGHT('Special Help Table'!$A574,LEN('Special Help Table'!$A574)-SEARCH(",",'Special Help Table'!$A574,SEARCH(";",'Special Help Table'!$A574)))&amp;" "&amp;MID('Special Help Table'!$A574,SEARCH("; ",'Special Help Table'!$A574)+2,SEARCH(",",'Special Help Table'!$A574,SEARCH(";",'Special Help Table'!$A574))-SEARCH(";",'Special Help Table'!$A574)-2),AND(LEN('Special Help Table'!$A574)-LEN(SUBSTITUTE('Special Help Table'!$A574,"and ",""))=0,LEN('Special Help Table'!$A574)-LEN(SUBSTITUTE('Special Help Table'!$A574,";",""))=0),'Special Help Table'!$A574,AND(LEN('Special Help Table'!$A574)-LEN(SUBSTITUTE('Special Help Table'!$A574,",","")=1),LEN('Special Help Table'!$A574)-LEN(SUBSTITUTE('Special Help Table'!$A574," ","")=20),LEN('Special Help Table'!$A574)-LEN(SUBSTITUTE('Special Help Table'!$A574," and",""))=0,LEN('Special Help Table'!$A574)-LEN(SUBSTITUTE('Special Help Table'!$A574,",","",FIND(" ",'Special Help Table'!$A574)+1))=0),RIGHT('Special Help Table'!$A574,LEN('Special Help Table'!$A574)-FIND(", ",'Special Help Table'!$A574))&amp;" "&amp;LEFT('Special Help Table'!$A574,FIND(",",'Special Help Table'!$A574)-1),AND(LEN('Special Help Table'!$A574)-LEN(SUBSTITUTE('Special Help Table'!$A574,"editor",""))=6,LEN('Special Help Table'!$A574)-LEN(SUBSTITUTE('Special Help Table'!$A574,"(",""))=0,LEN('Special Help Table'!$A574)-LEN(SUBSTITUTE('Special Help Table'!$A574,"and",""))=3,LEN('Special Help Table'!$A574)-LEN(SUBSTITUTE('Special Help Table'!$A574,",",""))=1,LEN('Special Help Table'!$A574)-LEN(SUBSTITUTE('Special Help Table'!$A574," ",""))=3),'Special Help Table'!$A574)</f>
        <v xml:space="preserve"> John Piper</v>
      </c>
      <c r="C574" s="4" t="s">
        <v>1094</v>
      </c>
      <c r="D574" s="2"/>
      <c r="E574" s="2" t="s">
        <v>16</v>
      </c>
      <c r="F574" s="2" t="s">
        <v>126</v>
      </c>
      <c r="G574" s="2"/>
      <c r="H574" s="2"/>
      <c r="I574" s="2"/>
      <c r="J574" s="2" t="s">
        <v>359</v>
      </c>
      <c r="K574" s="3">
        <v>40980</v>
      </c>
      <c r="L574" s="2"/>
      <c r="M574" s="2"/>
      <c r="N574" s="2" t="s">
        <v>18</v>
      </c>
    </row>
    <row r="575" spans="1:14" ht="15.75" customHeight="1" x14ac:dyDescent="0.35">
      <c r="A575" s="2" t="s">
        <v>1088</v>
      </c>
      <c r="B575" s="2" t="str" cm="1">
        <f t="array" ref="B575">_xlfn.IFS(AND(LEN('Special Help Table'!$A575)-(LEN(SUBSTITUTE('Special Help Table'!$A575,";","")))=0,LEN('Special Help Table'!$A575)-LEN(SUBSTITUTE('Special Help Table'!$A575,",",""))=1,LEN('Special Help Table'!$A575)-LEN(SUBSTITUTE('Special Help Table'!$A575,"and ",""))=0),MID('Special Help Table'!$A575&amp;" "&amp;'Special Help Table'!$A575,SEARCH(", ",'Special Help Table'!$A575)+1,LEN('Special Help Table'!$A575)),AND(LEN('Special Help Table'!$A575)-(LEN(SUBSTITUTE('Special Help Table'!$A575,";","")))=1,LEN('Special Help Table'!$A575)-LEN(SUBSTITUTE('Special Help Table'!$A575,"and ",""))=0),MID('Special Help Table'!$A575,SEARCH(",",'Special Help Table'!$A575)+1,(SEARCH(";",'Special Help Table'!$A575)-1)-SEARCH(",",'Special Help Table'!$A575))&amp;" "&amp;LEFT('Special Help Table'!$A575,SEARCH(",",'Special Help Table'!$A575)-1)&amp;";"&amp;RIGHT('Special Help Table'!$A575,LEN('Special Help Table'!$A575)-SEARCH(",",'Special Help Table'!$A575,SEARCH(";",'Special Help Table'!$A575)))&amp;" "&amp;MID('Special Help Table'!$A575,SEARCH("; ",'Special Help Table'!$A575)+2,SEARCH(",",'Special Help Table'!$A575,SEARCH(";",'Special Help Table'!$A575))-SEARCH(";",'Special Help Table'!$A575)-2),AND(LEN('Special Help Table'!$A575)-LEN(SUBSTITUTE('Special Help Table'!$A575,"and ",""))=0,LEN('Special Help Table'!$A575)-LEN(SUBSTITUTE('Special Help Table'!$A575,";",""))=0),'Special Help Table'!$A575,AND(LEN('Special Help Table'!$A575)-LEN(SUBSTITUTE('Special Help Table'!$A575,",","")=1),LEN('Special Help Table'!$A575)-LEN(SUBSTITUTE('Special Help Table'!$A575," ","")=20),LEN('Special Help Table'!$A575)-LEN(SUBSTITUTE('Special Help Table'!$A575," and",""))=0,LEN('Special Help Table'!$A575)-LEN(SUBSTITUTE('Special Help Table'!$A575,",","",FIND(" ",'Special Help Table'!$A575)+1))=0),RIGHT('Special Help Table'!$A575,LEN('Special Help Table'!$A575)-FIND(", ",'Special Help Table'!$A575))&amp;" "&amp;LEFT('Special Help Table'!$A575,FIND(",",'Special Help Table'!$A575)-1),AND(LEN('Special Help Table'!$A575)-LEN(SUBSTITUTE('Special Help Table'!$A575,"editor",""))=6,LEN('Special Help Table'!$A575)-LEN(SUBSTITUTE('Special Help Table'!$A575,"(",""))=0,LEN('Special Help Table'!$A575)-LEN(SUBSTITUTE('Special Help Table'!$A575,"and",""))=3,LEN('Special Help Table'!$A575)-LEN(SUBSTITUTE('Special Help Table'!$A575,",",""))=1,LEN('Special Help Table'!$A575)-LEN(SUBSTITUTE('Special Help Table'!$A575," ",""))=3),'Special Help Table'!$A575)</f>
        <v xml:space="preserve"> John Piper</v>
      </c>
      <c r="C575" s="4" t="s">
        <v>1095</v>
      </c>
      <c r="D575" s="2"/>
      <c r="E575" s="2" t="s">
        <v>16</v>
      </c>
      <c r="F575" s="2" t="s">
        <v>17</v>
      </c>
      <c r="G575" s="2"/>
      <c r="H575" s="2"/>
      <c r="I575" s="2"/>
      <c r="J575" s="2" t="s">
        <v>718</v>
      </c>
      <c r="K575" s="3">
        <v>42503</v>
      </c>
      <c r="L575" s="2"/>
      <c r="M575" s="2"/>
      <c r="N575" s="2" t="s">
        <v>18</v>
      </c>
    </row>
    <row r="576" spans="1:14" ht="15.75" customHeight="1" x14ac:dyDescent="0.35">
      <c r="A576" s="2" t="s">
        <v>1088</v>
      </c>
      <c r="B576" s="2" t="str" cm="1">
        <f t="array" ref="B576">_xlfn.IFS(AND(LEN('Special Help Table'!$A576)-(LEN(SUBSTITUTE('Special Help Table'!$A576,";","")))=0,LEN('Special Help Table'!$A576)-LEN(SUBSTITUTE('Special Help Table'!$A576,",",""))=1,LEN('Special Help Table'!$A576)-LEN(SUBSTITUTE('Special Help Table'!$A576,"and ",""))=0),MID('Special Help Table'!$A576&amp;" "&amp;'Special Help Table'!$A576,SEARCH(", ",'Special Help Table'!$A576)+1,LEN('Special Help Table'!$A576)),AND(LEN('Special Help Table'!$A576)-(LEN(SUBSTITUTE('Special Help Table'!$A576,";","")))=1,LEN('Special Help Table'!$A576)-LEN(SUBSTITUTE('Special Help Table'!$A576,"and ",""))=0),MID('Special Help Table'!$A576,SEARCH(",",'Special Help Table'!$A576)+1,(SEARCH(";",'Special Help Table'!$A576)-1)-SEARCH(",",'Special Help Table'!$A576))&amp;" "&amp;LEFT('Special Help Table'!$A576,SEARCH(",",'Special Help Table'!$A576)-1)&amp;";"&amp;RIGHT('Special Help Table'!$A576,LEN('Special Help Table'!$A576)-SEARCH(",",'Special Help Table'!$A576,SEARCH(";",'Special Help Table'!$A576)))&amp;" "&amp;MID('Special Help Table'!$A576,SEARCH("; ",'Special Help Table'!$A576)+2,SEARCH(",",'Special Help Table'!$A576,SEARCH(";",'Special Help Table'!$A576))-SEARCH(";",'Special Help Table'!$A576)-2),AND(LEN('Special Help Table'!$A576)-LEN(SUBSTITUTE('Special Help Table'!$A576,"and ",""))=0,LEN('Special Help Table'!$A576)-LEN(SUBSTITUTE('Special Help Table'!$A576,";",""))=0),'Special Help Table'!$A576,AND(LEN('Special Help Table'!$A576)-LEN(SUBSTITUTE('Special Help Table'!$A576,",","")=1),LEN('Special Help Table'!$A576)-LEN(SUBSTITUTE('Special Help Table'!$A576," ","")=20),LEN('Special Help Table'!$A576)-LEN(SUBSTITUTE('Special Help Table'!$A576," and",""))=0,LEN('Special Help Table'!$A576)-LEN(SUBSTITUTE('Special Help Table'!$A576,",","",FIND(" ",'Special Help Table'!$A576)+1))=0),RIGHT('Special Help Table'!$A576,LEN('Special Help Table'!$A576)-FIND(", ",'Special Help Table'!$A576))&amp;" "&amp;LEFT('Special Help Table'!$A576,FIND(",",'Special Help Table'!$A576)-1),AND(LEN('Special Help Table'!$A576)-LEN(SUBSTITUTE('Special Help Table'!$A576,"editor",""))=6,LEN('Special Help Table'!$A576)-LEN(SUBSTITUTE('Special Help Table'!$A576,"(",""))=0,LEN('Special Help Table'!$A576)-LEN(SUBSTITUTE('Special Help Table'!$A576,"and",""))=3,LEN('Special Help Table'!$A576)-LEN(SUBSTITUTE('Special Help Table'!$A576,",",""))=1,LEN('Special Help Table'!$A576)-LEN(SUBSTITUTE('Special Help Table'!$A576," ",""))=3),'Special Help Table'!$A576)</f>
        <v xml:space="preserve"> John Piper</v>
      </c>
      <c r="C576" s="4" t="s">
        <v>1096</v>
      </c>
      <c r="D576" s="2"/>
      <c r="E576" s="2" t="s">
        <v>16</v>
      </c>
      <c r="F576" s="2" t="s">
        <v>76</v>
      </c>
      <c r="G576" s="2"/>
      <c r="H576" s="2"/>
      <c r="I576" s="2"/>
      <c r="J576" s="2"/>
      <c r="K576" s="3">
        <v>42511</v>
      </c>
      <c r="L576" s="2"/>
      <c r="M576" s="2"/>
      <c r="N576" s="2" t="s">
        <v>18</v>
      </c>
    </row>
    <row r="577" spans="1:14" ht="15.75" customHeight="1" x14ac:dyDescent="0.35">
      <c r="A577" s="2" t="s">
        <v>1088</v>
      </c>
      <c r="B577" s="2" t="str" cm="1">
        <f t="array" ref="B577">_xlfn.IFS(AND(LEN('Special Help Table'!$A577)-(LEN(SUBSTITUTE('Special Help Table'!$A577,";","")))=0,LEN('Special Help Table'!$A577)-LEN(SUBSTITUTE('Special Help Table'!$A577,",",""))=1,LEN('Special Help Table'!$A577)-LEN(SUBSTITUTE('Special Help Table'!$A577,"and ",""))=0),MID('Special Help Table'!$A577&amp;" "&amp;'Special Help Table'!$A577,SEARCH(", ",'Special Help Table'!$A577)+1,LEN('Special Help Table'!$A577)),AND(LEN('Special Help Table'!$A577)-(LEN(SUBSTITUTE('Special Help Table'!$A577,";","")))=1,LEN('Special Help Table'!$A577)-LEN(SUBSTITUTE('Special Help Table'!$A577,"and ",""))=0),MID('Special Help Table'!$A577,SEARCH(",",'Special Help Table'!$A577)+1,(SEARCH(";",'Special Help Table'!$A577)-1)-SEARCH(",",'Special Help Table'!$A577))&amp;" "&amp;LEFT('Special Help Table'!$A577,SEARCH(",",'Special Help Table'!$A577)-1)&amp;";"&amp;RIGHT('Special Help Table'!$A577,LEN('Special Help Table'!$A577)-SEARCH(",",'Special Help Table'!$A577,SEARCH(";",'Special Help Table'!$A577)))&amp;" "&amp;MID('Special Help Table'!$A577,SEARCH("; ",'Special Help Table'!$A577)+2,SEARCH(",",'Special Help Table'!$A577,SEARCH(";",'Special Help Table'!$A577))-SEARCH(";",'Special Help Table'!$A577)-2),AND(LEN('Special Help Table'!$A577)-LEN(SUBSTITUTE('Special Help Table'!$A577,"and ",""))=0,LEN('Special Help Table'!$A577)-LEN(SUBSTITUTE('Special Help Table'!$A577,";",""))=0),'Special Help Table'!$A577,AND(LEN('Special Help Table'!$A577)-LEN(SUBSTITUTE('Special Help Table'!$A577,",","")=1),LEN('Special Help Table'!$A577)-LEN(SUBSTITUTE('Special Help Table'!$A577," ","")=20),LEN('Special Help Table'!$A577)-LEN(SUBSTITUTE('Special Help Table'!$A577," and",""))=0,LEN('Special Help Table'!$A577)-LEN(SUBSTITUTE('Special Help Table'!$A577,",","",FIND(" ",'Special Help Table'!$A577)+1))=0),RIGHT('Special Help Table'!$A577,LEN('Special Help Table'!$A577)-FIND(", ",'Special Help Table'!$A577))&amp;" "&amp;LEFT('Special Help Table'!$A577,FIND(",",'Special Help Table'!$A577)-1),AND(LEN('Special Help Table'!$A577)-LEN(SUBSTITUTE('Special Help Table'!$A577,"editor",""))=6,LEN('Special Help Table'!$A577)-LEN(SUBSTITUTE('Special Help Table'!$A577,"(",""))=0,LEN('Special Help Table'!$A577)-LEN(SUBSTITUTE('Special Help Table'!$A577,"and",""))=3,LEN('Special Help Table'!$A577)-LEN(SUBSTITUTE('Special Help Table'!$A577,",",""))=1,LEN('Special Help Table'!$A577)-LEN(SUBSTITUTE('Special Help Table'!$A577," ",""))=3),'Special Help Table'!$A577)</f>
        <v xml:space="preserve"> John Piper</v>
      </c>
      <c r="C577" s="4" t="s">
        <v>1097</v>
      </c>
      <c r="D577" s="2"/>
      <c r="E577" s="2" t="s">
        <v>16</v>
      </c>
      <c r="F577" s="2" t="s">
        <v>28</v>
      </c>
      <c r="G577" s="2"/>
      <c r="H577" s="2"/>
      <c r="I577" s="2"/>
      <c r="J577" s="2"/>
      <c r="K577" s="3">
        <v>40037</v>
      </c>
      <c r="L577" s="2"/>
      <c r="M577" s="2"/>
      <c r="N577" s="2" t="s">
        <v>18</v>
      </c>
    </row>
    <row r="578" spans="1:14" ht="15.75" customHeight="1" x14ac:dyDescent="0.35">
      <c r="A578" s="2" t="s">
        <v>1088</v>
      </c>
      <c r="B578" s="2" t="str" cm="1">
        <f t="array" ref="B578">_xlfn.IFS(AND(LEN('Special Help Table'!$A578)-(LEN(SUBSTITUTE('Special Help Table'!$A578,";","")))=0,LEN('Special Help Table'!$A578)-LEN(SUBSTITUTE('Special Help Table'!$A578,",",""))=1,LEN('Special Help Table'!$A578)-LEN(SUBSTITUTE('Special Help Table'!$A578,"and ",""))=0),MID('Special Help Table'!$A578&amp;" "&amp;'Special Help Table'!$A578,SEARCH(", ",'Special Help Table'!$A578)+1,LEN('Special Help Table'!$A578)),AND(LEN('Special Help Table'!$A578)-(LEN(SUBSTITUTE('Special Help Table'!$A578,";","")))=1,LEN('Special Help Table'!$A578)-LEN(SUBSTITUTE('Special Help Table'!$A578,"and ",""))=0),MID('Special Help Table'!$A578,SEARCH(",",'Special Help Table'!$A578)+1,(SEARCH(";",'Special Help Table'!$A578)-1)-SEARCH(",",'Special Help Table'!$A578))&amp;" "&amp;LEFT('Special Help Table'!$A578,SEARCH(",",'Special Help Table'!$A578)-1)&amp;";"&amp;RIGHT('Special Help Table'!$A578,LEN('Special Help Table'!$A578)-SEARCH(",",'Special Help Table'!$A578,SEARCH(";",'Special Help Table'!$A578)))&amp;" "&amp;MID('Special Help Table'!$A578,SEARCH("; ",'Special Help Table'!$A578)+2,SEARCH(",",'Special Help Table'!$A578,SEARCH(";",'Special Help Table'!$A578))-SEARCH(";",'Special Help Table'!$A578)-2),AND(LEN('Special Help Table'!$A578)-LEN(SUBSTITUTE('Special Help Table'!$A578,"and ",""))=0,LEN('Special Help Table'!$A578)-LEN(SUBSTITUTE('Special Help Table'!$A578,";",""))=0),'Special Help Table'!$A578,AND(LEN('Special Help Table'!$A578)-LEN(SUBSTITUTE('Special Help Table'!$A578,",","")=1),LEN('Special Help Table'!$A578)-LEN(SUBSTITUTE('Special Help Table'!$A578," ","")=20),LEN('Special Help Table'!$A578)-LEN(SUBSTITUTE('Special Help Table'!$A578," and",""))=0,LEN('Special Help Table'!$A578)-LEN(SUBSTITUTE('Special Help Table'!$A578,",","",FIND(" ",'Special Help Table'!$A578)+1))=0),RIGHT('Special Help Table'!$A578,LEN('Special Help Table'!$A578)-FIND(", ",'Special Help Table'!$A578))&amp;" "&amp;LEFT('Special Help Table'!$A578,FIND(",",'Special Help Table'!$A578)-1),AND(LEN('Special Help Table'!$A578)-LEN(SUBSTITUTE('Special Help Table'!$A578,"editor",""))=6,LEN('Special Help Table'!$A578)-LEN(SUBSTITUTE('Special Help Table'!$A578,"(",""))=0,LEN('Special Help Table'!$A578)-LEN(SUBSTITUTE('Special Help Table'!$A578,"and",""))=3,LEN('Special Help Table'!$A578)-LEN(SUBSTITUTE('Special Help Table'!$A578,",",""))=1,LEN('Special Help Table'!$A578)-LEN(SUBSTITUTE('Special Help Table'!$A578," ",""))=3),'Special Help Table'!$A578)</f>
        <v xml:space="preserve"> John Piper</v>
      </c>
      <c r="C578" s="4" t="s">
        <v>1098</v>
      </c>
      <c r="D578" s="2"/>
      <c r="E578" s="2" t="s">
        <v>16</v>
      </c>
      <c r="F578" s="2" t="s">
        <v>39</v>
      </c>
      <c r="G578" s="2"/>
      <c r="H578" s="2"/>
      <c r="I578" s="2"/>
      <c r="J578" s="2"/>
      <c r="K578" s="3">
        <v>40039</v>
      </c>
      <c r="L578" s="2"/>
      <c r="M578" s="2"/>
      <c r="N578" s="2" t="s">
        <v>18</v>
      </c>
    </row>
    <row r="579" spans="1:14" ht="15.75" customHeight="1" x14ac:dyDescent="0.35">
      <c r="A579" s="2" t="s">
        <v>1088</v>
      </c>
      <c r="B579" s="2" t="str" cm="1">
        <f t="array" ref="B579">_xlfn.IFS(AND(LEN('Special Help Table'!$A579)-(LEN(SUBSTITUTE('Special Help Table'!$A579,";","")))=0,LEN('Special Help Table'!$A579)-LEN(SUBSTITUTE('Special Help Table'!$A579,",",""))=1,LEN('Special Help Table'!$A579)-LEN(SUBSTITUTE('Special Help Table'!$A579,"and ",""))=0),MID('Special Help Table'!$A579&amp;" "&amp;'Special Help Table'!$A579,SEARCH(", ",'Special Help Table'!$A579)+1,LEN('Special Help Table'!$A579)),AND(LEN('Special Help Table'!$A579)-(LEN(SUBSTITUTE('Special Help Table'!$A579,";","")))=1,LEN('Special Help Table'!$A579)-LEN(SUBSTITUTE('Special Help Table'!$A579,"and ",""))=0),MID('Special Help Table'!$A579,SEARCH(",",'Special Help Table'!$A579)+1,(SEARCH(";",'Special Help Table'!$A579)-1)-SEARCH(",",'Special Help Table'!$A579))&amp;" "&amp;LEFT('Special Help Table'!$A579,SEARCH(",",'Special Help Table'!$A579)-1)&amp;";"&amp;RIGHT('Special Help Table'!$A579,LEN('Special Help Table'!$A579)-SEARCH(",",'Special Help Table'!$A579,SEARCH(";",'Special Help Table'!$A579)))&amp;" "&amp;MID('Special Help Table'!$A579,SEARCH("; ",'Special Help Table'!$A579)+2,SEARCH(",",'Special Help Table'!$A579,SEARCH(";",'Special Help Table'!$A579))-SEARCH(";",'Special Help Table'!$A579)-2),AND(LEN('Special Help Table'!$A579)-LEN(SUBSTITUTE('Special Help Table'!$A579,"and ",""))=0,LEN('Special Help Table'!$A579)-LEN(SUBSTITUTE('Special Help Table'!$A579,";",""))=0),'Special Help Table'!$A579,AND(LEN('Special Help Table'!$A579)-LEN(SUBSTITUTE('Special Help Table'!$A579,",","")=1),LEN('Special Help Table'!$A579)-LEN(SUBSTITUTE('Special Help Table'!$A579," ","")=20),LEN('Special Help Table'!$A579)-LEN(SUBSTITUTE('Special Help Table'!$A579," and",""))=0,LEN('Special Help Table'!$A579)-LEN(SUBSTITUTE('Special Help Table'!$A579,",","",FIND(" ",'Special Help Table'!$A579)+1))=0),RIGHT('Special Help Table'!$A579,LEN('Special Help Table'!$A579)-FIND(", ",'Special Help Table'!$A579))&amp;" "&amp;LEFT('Special Help Table'!$A579,FIND(",",'Special Help Table'!$A579)-1),AND(LEN('Special Help Table'!$A579)-LEN(SUBSTITUTE('Special Help Table'!$A579,"editor",""))=6,LEN('Special Help Table'!$A579)-LEN(SUBSTITUTE('Special Help Table'!$A579,"(",""))=0,LEN('Special Help Table'!$A579)-LEN(SUBSTITUTE('Special Help Table'!$A579,"and",""))=3,LEN('Special Help Table'!$A579)-LEN(SUBSTITUTE('Special Help Table'!$A579,",",""))=1,LEN('Special Help Table'!$A579)-LEN(SUBSTITUTE('Special Help Table'!$A579," ",""))=3),'Special Help Table'!$A579)</f>
        <v xml:space="preserve"> John Piper</v>
      </c>
      <c r="C579" s="4" t="s">
        <v>1099</v>
      </c>
      <c r="D579" s="2"/>
      <c r="E579" s="2" t="s">
        <v>16</v>
      </c>
      <c r="F579" s="2" t="s">
        <v>28</v>
      </c>
      <c r="G579" s="2"/>
      <c r="H579" s="2"/>
      <c r="I579" s="2"/>
      <c r="J579" s="2" t="s">
        <v>97</v>
      </c>
      <c r="K579" s="3">
        <v>40040</v>
      </c>
      <c r="L579" s="2"/>
      <c r="M579" s="2"/>
      <c r="N579" s="2" t="s">
        <v>18</v>
      </c>
    </row>
    <row r="580" spans="1:14" ht="15.75" customHeight="1" x14ac:dyDescent="0.35">
      <c r="A580" s="2" t="s">
        <v>1088</v>
      </c>
      <c r="B580" s="2" t="str" cm="1">
        <f t="array" ref="B580">_xlfn.IFS(AND(LEN('Special Help Table'!$A580)-(LEN(SUBSTITUTE('Special Help Table'!$A580,";","")))=0,LEN('Special Help Table'!$A580)-LEN(SUBSTITUTE('Special Help Table'!$A580,",",""))=1,LEN('Special Help Table'!$A580)-LEN(SUBSTITUTE('Special Help Table'!$A580,"and ",""))=0),MID('Special Help Table'!$A580&amp;" "&amp;'Special Help Table'!$A580,SEARCH(", ",'Special Help Table'!$A580)+1,LEN('Special Help Table'!$A580)),AND(LEN('Special Help Table'!$A580)-(LEN(SUBSTITUTE('Special Help Table'!$A580,";","")))=1,LEN('Special Help Table'!$A580)-LEN(SUBSTITUTE('Special Help Table'!$A580,"and ",""))=0),MID('Special Help Table'!$A580,SEARCH(",",'Special Help Table'!$A580)+1,(SEARCH(";",'Special Help Table'!$A580)-1)-SEARCH(",",'Special Help Table'!$A580))&amp;" "&amp;LEFT('Special Help Table'!$A580,SEARCH(",",'Special Help Table'!$A580)-1)&amp;";"&amp;RIGHT('Special Help Table'!$A580,LEN('Special Help Table'!$A580)-SEARCH(",",'Special Help Table'!$A580,SEARCH(";",'Special Help Table'!$A580)))&amp;" "&amp;MID('Special Help Table'!$A580,SEARCH("; ",'Special Help Table'!$A580)+2,SEARCH(",",'Special Help Table'!$A580,SEARCH(";",'Special Help Table'!$A580))-SEARCH(";",'Special Help Table'!$A580)-2),AND(LEN('Special Help Table'!$A580)-LEN(SUBSTITUTE('Special Help Table'!$A580,"and ",""))=0,LEN('Special Help Table'!$A580)-LEN(SUBSTITUTE('Special Help Table'!$A580,";",""))=0),'Special Help Table'!$A580,AND(LEN('Special Help Table'!$A580)-LEN(SUBSTITUTE('Special Help Table'!$A580,",","")=1),LEN('Special Help Table'!$A580)-LEN(SUBSTITUTE('Special Help Table'!$A580," ","")=20),LEN('Special Help Table'!$A580)-LEN(SUBSTITUTE('Special Help Table'!$A580," and",""))=0,LEN('Special Help Table'!$A580)-LEN(SUBSTITUTE('Special Help Table'!$A580,",","",FIND(" ",'Special Help Table'!$A580)+1))=0),RIGHT('Special Help Table'!$A580,LEN('Special Help Table'!$A580)-FIND(", ",'Special Help Table'!$A580))&amp;" "&amp;LEFT('Special Help Table'!$A580,FIND(",",'Special Help Table'!$A580)-1),AND(LEN('Special Help Table'!$A580)-LEN(SUBSTITUTE('Special Help Table'!$A580,"editor",""))=6,LEN('Special Help Table'!$A580)-LEN(SUBSTITUTE('Special Help Table'!$A580,"(",""))=0,LEN('Special Help Table'!$A580)-LEN(SUBSTITUTE('Special Help Table'!$A580,"and",""))=3,LEN('Special Help Table'!$A580)-LEN(SUBSTITUTE('Special Help Table'!$A580,",",""))=1,LEN('Special Help Table'!$A580)-LEN(SUBSTITUTE('Special Help Table'!$A580," ",""))=3),'Special Help Table'!$A580)</f>
        <v xml:space="preserve"> John Piper</v>
      </c>
      <c r="C580" s="4" t="s">
        <v>1100</v>
      </c>
      <c r="D580" s="2" t="s">
        <v>733</v>
      </c>
      <c r="E580" s="2" t="s">
        <v>16</v>
      </c>
      <c r="F580" s="2" t="s">
        <v>17</v>
      </c>
      <c r="G580" s="2"/>
      <c r="H580" s="2"/>
      <c r="I580" s="2"/>
      <c r="J580" s="2" t="s">
        <v>188</v>
      </c>
      <c r="K580" s="3">
        <v>40041</v>
      </c>
      <c r="L580" s="2"/>
      <c r="M580" s="2"/>
      <c r="N580" s="2" t="s">
        <v>18</v>
      </c>
    </row>
    <row r="581" spans="1:14" ht="15.75" customHeight="1" x14ac:dyDescent="0.35">
      <c r="A581" s="2" t="s">
        <v>1088</v>
      </c>
      <c r="B581" s="2" t="str" cm="1">
        <f t="array" ref="B581">_xlfn.IFS(AND(LEN('Special Help Table'!$A581)-(LEN(SUBSTITUTE('Special Help Table'!$A581,";","")))=0,LEN('Special Help Table'!$A581)-LEN(SUBSTITUTE('Special Help Table'!$A581,",",""))=1,LEN('Special Help Table'!$A581)-LEN(SUBSTITUTE('Special Help Table'!$A581,"and ",""))=0),MID('Special Help Table'!$A581&amp;" "&amp;'Special Help Table'!$A581,SEARCH(", ",'Special Help Table'!$A581)+1,LEN('Special Help Table'!$A581)),AND(LEN('Special Help Table'!$A581)-(LEN(SUBSTITUTE('Special Help Table'!$A581,";","")))=1,LEN('Special Help Table'!$A581)-LEN(SUBSTITUTE('Special Help Table'!$A581,"and ",""))=0),MID('Special Help Table'!$A581,SEARCH(",",'Special Help Table'!$A581)+1,(SEARCH(";",'Special Help Table'!$A581)-1)-SEARCH(",",'Special Help Table'!$A581))&amp;" "&amp;LEFT('Special Help Table'!$A581,SEARCH(",",'Special Help Table'!$A581)-1)&amp;";"&amp;RIGHT('Special Help Table'!$A581,LEN('Special Help Table'!$A581)-SEARCH(",",'Special Help Table'!$A581,SEARCH(";",'Special Help Table'!$A581)))&amp;" "&amp;MID('Special Help Table'!$A581,SEARCH("; ",'Special Help Table'!$A581)+2,SEARCH(",",'Special Help Table'!$A581,SEARCH(";",'Special Help Table'!$A581))-SEARCH(";",'Special Help Table'!$A581)-2),AND(LEN('Special Help Table'!$A581)-LEN(SUBSTITUTE('Special Help Table'!$A581,"and ",""))=0,LEN('Special Help Table'!$A581)-LEN(SUBSTITUTE('Special Help Table'!$A581,";",""))=0),'Special Help Table'!$A581,AND(LEN('Special Help Table'!$A581)-LEN(SUBSTITUTE('Special Help Table'!$A581,",","")=1),LEN('Special Help Table'!$A581)-LEN(SUBSTITUTE('Special Help Table'!$A581," ","")=20),LEN('Special Help Table'!$A581)-LEN(SUBSTITUTE('Special Help Table'!$A581," and",""))=0,LEN('Special Help Table'!$A581)-LEN(SUBSTITUTE('Special Help Table'!$A581,",","",FIND(" ",'Special Help Table'!$A581)+1))=0),RIGHT('Special Help Table'!$A581,LEN('Special Help Table'!$A581)-FIND(", ",'Special Help Table'!$A581))&amp;" "&amp;LEFT('Special Help Table'!$A581,FIND(",",'Special Help Table'!$A581)-1),AND(LEN('Special Help Table'!$A581)-LEN(SUBSTITUTE('Special Help Table'!$A581,"editor",""))=6,LEN('Special Help Table'!$A581)-LEN(SUBSTITUTE('Special Help Table'!$A581,"(",""))=0,LEN('Special Help Table'!$A581)-LEN(SUBSTITUTE('Special Help Table'!$A581,"and",""))=3,LEN('Special Help Table'!$A581)-LEN(SUBSTITUTE('Special Help Table'!$A581,",",""))=1,LEN('Special Help Table'!$A581)-LEN(SUBSTITUTE('Special Help Table'!$A581," ",""))=3),'Special Help Table'!$A581)</f>
        <v xml:space="preserve"> John Piper</v>
      </c>
      <c r="C581" s="4" t="s">
        <v>1101</v>
      </c>
      <c r="D581" s="2"/>
      <c r="E581" s="2" t="s">
        <v>16</v>
      </c>
      <c r="F581" s="2" t="s">
        <v>36</v>
      </c>
      <c r="G581" s="2"/>
      <c r="H581" s="2"/>
      <c r="I581" s="2"/>
      <c r="J581" s="2"/>
      <c r="K581" s="3">
        <v>40634</v>
      </c>
      <c r="L581" s="2"/>
      <c r="M581" s="2"/>
      <c r="N581" s="2" t="s">
        <v>18</v>
      </c>
    </row>
    <row r="582" spans="1:14" ht="15.75" customHeight="1" x14ac:dyDescent="0.35">
      <c r="A582" s="2" t="s">
        <v>1088</v>
      </c>
      <c r="B582" s="2" t="str" cm="1">
        <f t="array" ref="B582">_xlfn.IFS(AND(LEN('Special Help Table'!$A582)-(LEN(SUBSTITUTE('Special Help Table'!$A582,";","")))=0,LEN('Special Help Table'!$A582)-LEN(SUBSTITUTE('Special Help Table'!$A582,",",""))=1,LEN('Special Help Table'!$A582)-LEN(SUBSTITUTE('Special Help Table'!$A582,"and ",""))=0),MID('Special Help Table'!$A582&amp;" "&amp;'Special Help Table'!$A582,SEARCH(", ",'Special Help Table'!$A582)+1,LEN('Special Help Table'!$A582)),AND(LEN('Special Help Table'!$A582)-(LEN(SUBSTITUTE('Special Help Table'!$A582,";","")))=1,LEN('Special Help Table'!$A582)-LEN(SUBSTITUTE('Special Help Table'!$A582,"and ",""))=0),MID('Special Help Table'!$A582,SEARCH(",",'Special Help Table'!$A582)+1,(SEARCH(";",'Special Help Table'!$A582)-1)-SEARCH(",",'Special Help Table'!$A582))&amp;" "&amp;LEFT('Special Help Table'!$A582,SEARCH(",",'Special Help Table'!$A582)-1)&amp;";"&amp;RIGHT('Special Help Table'!$A582,LEN('Special Help Table'!$A582)-SEARCH(",",'Special Help Table'!$A582,SEARCH(";",'Special Help Table'!$A582)))&amp;" "&amp;MID('Special Help Table'!$A582,SEARCH("; ",'Special Help Table'!$A582)+2,SEARCH(",",'Special Help Table'!$A582,SEARCH(";",'Special Help Table'!$A582))-SEARCH(";",'Special Help Table'!$A582)-2),AND(LEN('Special Help Table'!$A582)-LEN(SUBSTITUTE('Special Help Table'!$A582,"and ",""))=0,LEN('Special Help Table'!$A582)-LEN(SUBSTITUTE('Special Help Table'!$A582,";",""))=0),'Special Help Table'!$A582,AND(LEN('Special Help Table'!$A582)-LEN(SUBSTITUTE('Special Help Table'!$A582,",","")=1),LEN('Special Help Table'!$A582)-LEN(SUBSTITUTE('Special Help Table'!$A582," ","")=20),LEN('Special Help Table'!$A582)-LEN(SUBSTITUTE('Special Help Table'!$A582," and",""))=0,LEN('Special Help Table'!$A582)-LEN(SUBSTITUTE('Special Help Table'!$A582,",","",FIND(" ",'Special Help Table'!$A582)+1))=0),RIGHT('Special Help Table'!$A582,LEN('Special Help Table'!$A582)-FIND(", ",'Special Help Table'!$A582))&amp;" "&amp;LEFT('Special Help Table'!$A582,FIND(",",'Special Help Table'!$A582)-1),AND(LEN('Special Help Table'!$A582)-LEN(SUBSTITUTE('Special Help Table'!$A582,"editor",""))=6,LEN('Special Help Table'!$A582)-LEN(SUBSTITUTE('Special Help Table'!$A582,"(",""))=0,LEN('Special Help Table'!$A582)-LEN(SUBSTITUTE('Special Help Table'!$A582,"and",""))=3,LEN('Special Help Table'!$A582)-LEN(SUBSTITUTE('Special Help Table'!$A582,",",""))=1,LEN('Special Help Table'!$A582)-LEN(SUBSTITUTE('Special Help Table'!$A582," ",""))=3),'Special Help Table'!$A582)</f>
        <v xml:space="preserve"> John Piper</v>
      </c>
      <c r="C582" s="4" t="s">
        <v>1102</v>
      </c>
      <c r="D582" s="2"/>
      <c r="E582" s="2" t="s">
        <v>16</v>
      </c>
      <c r="F582" s="2" t="s">
        <v>36</v>
      </c>
      <c r="G582" s="2"/>
      <c r="H582" s="2"/>
      <c r="I582" s="2"/>
      <c r="J582" s="2"/>
      <c r="K582" s="3">
        <v>40909</v>
      </c>
      <c r="L582" s="2" t="s">
        <v>331</v>
      </c>
      <c r="M582" s="2"/>
      <c r="N582" s="2" t="s">
        <v>18</v>
      </c>
    </row>
    <row r="583" spans="1:14" ht="15.75" customHeight="1" x14ac:dyDescent="0.35">
      <c r="A583" s="2" t="s">
        <v>1088</v>
      </c>
      <c r="B583" s="2" t="str" cm="1">
        <f t="array" ref="B583">_xlfn.IFS(AND(LEN('Special Help Table'!$A583)-(LEN(SUBSTITUTE('Special Help Table'!$A583,";","")))=0,LEN('Special Help Table'!$A583)-LEN(SUBSTITUTE('Special Help Table'!$A583,",",""))=1,LEN('Special Help Table'!$A583)-LEN(SUBSTITUTE('Special Help Table'!$A583,"and ",""))=0),MID('Special Help Table'!$A583&amp;" "&amp;'Special Help Table'!$A583,SEARCH(", ",'Special Help Table'!$A583)+1,LEN('Special Help Table'!$A583)),AND(LEN('Special Help Table'!$A583)-(LEN(SUBSTITUTE('Special Help Table'!$A583,";","")))=1,LEN('Special Help Table'!$A583)-LEN(SUBSTITUTE('Special Help Table'!$A583,"and ",""))=0),MID('Special Help Table'!$A583,SEARCH(",",'Special Help Table'!$A583)+1,(SEARCH(";",'Special Help Table'!$A583)-1)-SEARCH(",",'Special Help Table'!$A583))&amp;" "&amp;LEFT('Special Help Table'!$A583,SEARCH(",",'Special Help Table'!$A583)-1)&amp;";"&amp;RIGHT('Special Help Table'!$A583,LEN('Special Help Table'!$A583)-SEARCH(",",'Special Help Table'!$A583,SEARCH(";",'Special Help Table'!$A583)))&amp;" "&amp;MID('Special Help Table'!$A583,SEARCH("; ",'Special Help Table'!$A583)+2,SEARCH(",",'Special Help Table'!$A583,SEARCH(";",'Special Help Table'!$A583))-SEARCH(";",'Special Help Table'!$A583)-2),AND(LEN('Special Help Table'!$A583)-LEN(SUBSTITUTE('Special Help Table'!$A583,"and ",""))=0,LEN('Special Help Table'!$A583)-LEN(SUBSTITUTE('Special Help Table'!$A583,";",""))=0),'Special Help Table'!$A583,AND(LEN('Special Help Table'!$A583)-LEN(SUBSTITUTE('Special Help Table'!$A583,",","")=1),LEN('Special Help Table'!$A583)-LEN(SUBSTITUTE('Special Help Table'!$A583," ","")=20),LEN('Special Help Table'!$A583)-LEN(SUBSTITUTE('Special Help Table'!$A583," and",""))=0,LEN('Special Help Table'!$A583)-LEN(SUBSTITUTE('Special Help Table'!$A583,",","",FIND(" ",'Special Help Table'!$A583)+1))=0),RIGHT('Special Help Table'!$A583,LEN('Special Help Table'!$A583)-FIND(", ",'Special Help Table'!$A583))&amp;" "&amp;LEFT('Special Help Table'!$A583,FIND(",",'Special Help Table'!$A583)-1),AND(LEN('Special Help Table'!$A583)-LEN(SUBSTITUTE('Special Help Table'!$A583,"editor",""))=6,LEN('Special Help Table'!$A583)-LEN(SUBSTITUTE('Special Help Table'!$A583,"(",""))=0,LEN('Special Help Table'!$A583)-LEN(SUBSTITUTE('Special Help Table'!$A583,"and",""))=3,LEN('Special Help Table'!$A583)-LEN(SUBSTITUTE('Special Help Table'!$A583,",",""))=1,LEN('Special Help Table'!$A583)-LEN(SUBSTITUTE('Special Help Table'!$A583," ",""))=3),'Special Help Table'!$A583)</f>
        <v xml:space="preserve"> John Piper</v>
      </c>
      <c r="C583" s="4" t="s">
        <v>1103</v>
      </c>
      <c r="D583" s="2"/>
      <c r="E583" s="2" t="s">
        <v>16</v>
      </c>
      <c r="F583" s="2" t="s">
        <v>17</v>
      </c>
      <c r="G583" s="2"/>
      <c r="H583" s="2"/>
      <c r="I583" s="2"/>
      <c r="J583" s="2" t="s">
        <v>622</v>
      </c>
      <c r="K583" s="3">
        <v>41773</v>
      </c>
      <c r="L583" s="2"/>
      <c r="M583" s="2"/>
      <c r="N583" s="2" t="s">
        <v>18</v>
      </c>
    </row>
    <row r="584" spans="1:14" ht="15.75" customHeight="1" x14ac:dyDescent="0.35">
      <c r="A584" s="2" t="s">
        <v>1088</v>
      </c>
      <c r="B584" s="2" t="str" cm="1">
        <f t="array" ref="B584">_xlfn.IFS(AND(LEN('Special Help Table'!$A584)-(LEN(SUBSTITUTE('Special Help Table'!$A584,";","")))=0,LEN('Special Help Table'!$A584)-LEN(SUBSTITUTE('Special Help Table'!$A584,",",""))=1,LEN('Special Help Table'!$A584)-LEN(SUBSTITUTE('Special Help Table'!$A584,"and ",""))=0),MID('Special Help Table'!$A584&amp;" "&amp;'Special Help Table'!$A584,SEARCH(", ",'Special Help Table'!$A584)+1,LEN('Special Help Table'!$A584)),AND(LEN('Special Help Table'!$A584)-(LEN(SUBSTITUTE('Special Help Table'!$A584,";","")))=1,LEN('Special Help Table'!$A584)-LEN(SUBSTITUTE('Special Help Table'!$A584,"and ",""))=0),MID('Special Help Table'!$A584,SEARCH(",",'Special Help Table'!$A584)+1,(SEARCH(";",'Special Help Table'!$A584)-1)-SEARCH(",",'Special Help Table'!$A584))&amp;" "&amp;LEFT('Special Help Table'!$A584,SEARCH(",",'Special Help Table'!$A584)-1)&amp;";"&amp;RIGHT('Special Help Table'!$A584,LEN('Special Help Table'!$A584)-SEARCH(",",'Special Help Table'!$A584,SEARCH(";",'Special Help Table'!$A584)))&amp;" "&amp;MID('Special Help Table'!$A584,SEARCH("; ",'Special Help Table'!$A584)+2,SEARCH(",",'Special Help Table'!$A584,SEARCH(";",'Special Help Table'!$A584))-SEARCH(";",'Special Help Table'!$A584)-2),AND(LEN('Special Help Table'!$A584)-LEN(SUBSTITUTE('Special Help Table'!$A584,"and ",""))=0,LEN('Special Help Table'!$A584)-LEN(SUBSTITUTE('Special Help Table'!$A584,";",""))=0),'Special Help Table'!$A584,AND(LEN('Special Help Table'!$A584)-LEN(SUBSTITUTE('Special Help Table'!$A584,",","")=1),LEN('Special Help Table'!$A584)-LEN(SUBSTITUTE('Special Help Table'!$A584," ","")=20),LEN('Special Help Table'!$A584)-LEN(SUBSTITUTE('Special Help Table'!$A584," and",""))=0,LEN('Special Help Table'!$A584)-LEN(SUBSTITUTE('Special Help Table'!$A584,",","",FIND(" ",'Special Help Table'!$A584)+1))=0),RIGHT('Special Help Table'!$A584,LEN('Special Help Table'!$A584)-FIND(", ",'Special Help Table'!$A584))&amp;" "&amp;LEFT('Special Help Table'!$A584,FIND(",",'Special Help Table'!$A584)-1),AND(LEN('Special Help Table'!$A584)-LEN(SUBSTITUTE('Special Help Table'!$A584,"editor",""))=6,LEN('Special Help Table'!$A584)-LEN(SUBSTITUTE('Special Help Table'!$A584,"(",""))=0,LEN('Special Help Table'!$A584)-LEN(SUBSTITUTE('Special Help Table'!$A584,"and",""))=3,LEN('Special Help Table'!$A584)-LEN(SUBSTITUTE('Special Help Table'!$A584,",",""))=1,LEN('Special Help Table'!$A584)-LEN(SUBSTITUTE('Special Help Table'!$A584," ",""))=3),'Special Help Table'!$A584)</f>
        <v xml:space="preserve"> John Piper</v>
      </c>
      <c r="C584" s="4" t="s">
        <v>1104</v>
      </c>
      <c r="D584" s="2"/>
      <c r="E584" s="2" t="s">
        <v>16</v>
      </c>
      <c r="F584" s="2" t="s">
        <v>36</v>
      </c>
      <c r="G584" s="2"/>
      <c r="H584" s="2"/>
      <c r="I584" s="2"/>
      <c r="J584" s="2"/>
      <c r="K584" s="3">
        <v>40042</v>
      </c>
      <c r="L584" s="2"/>
      <c r="M584" s="2"/>
      <c r="N584" s="2" t="s">
        <v>18</v>
      </c>
    </row>
    <row r="585" spans="1:14" ht="15.75" customHeight="1" x14ac:dyDescent="0.35">
      <c r="A585" s="2" t="s">
        <v>1088</v>
      </c>
      <c r="B585" s="2" t="str" cm="1">
        <f t="array" ref="B585">_xlfn.IFS(AND(LEN('Special Help Table'!$A585)-(LEN(SUBSTITUTE('Special Help Table'!$A585,";","")))=0,LEN('Special Help Table'!$A585)-LEN(SUBSTITUTE('Special Help Table'!$A585,",",""))=1,LEN('Special Help Table'!$A585)-LEN(SUBSTITUTE('Special Help Table'!$A585,"and ",""))=0),MID('Special Help Table'!$A585&amp;" "&amp;'Special Help Table'!$A585,SEARCH(", ",'Special Help Table'!$A585)+1,LEN('Special Help Table'!$A585)),AND(LEN('Special Help Table'!$A585)-(LEN(SUBSTITUTE('Special Help Table'!$A585,";","")))=1,LEN('Special Help Table'!$A585)-LEN(SUBSTITUTE('Special Help Table'!$A585,"and ",""))=0),MID('Special Help Table'!$A585,SEARCH(",",'Special Help Table'!$A585)+1,(SEARCH(";",'Special Help Table'!$A585)-1)-SEARCH(",",'Special Help Table'!$A585))&amp;" "&amp;LEFT('Special Help Table'!$A585,SEARCH(",",'Special Help Table'!$A585)-1)&amp;";"&amp;RIGHT('Special Help Table'!$A585,LEN('Special Help Table'!$A585)-SEARCH(",",'Special Help Table'!$A585,SEARCH(";",'Special Help Table'!$A585)))&amp;" "&amp;MID('Special Help Table'!$A585,SEARCH("; ",'Special Help Table'!$A585)+2,SEARCH(",",'Special Help Table'!$A585,SEARCH(";",'Special Help Table'!$A585))-SEARCH(";",'Special Help Table'!$A585)-2),AND(LEN('Special Help Table'!$A585)-LEN(SUBSTITUTE('Special Help Table'!$A585,"and ",""))=0,LEN('Special Help Table'!$A585)-LEN(SUBSTITUTE('Special Help Table'!$A585,";",""))=0),'Special Help Table'!$A585,AND(LEN('Special Help Table'!$A585)-LEN(SUBSTITUTE('Special Help Table'!$A585,",","")=1),LEN('Special Help Table'!$A585)-LEN(SUBSTITUTE('Special Help Table'!$A585," ","")=20),LEN('Special Help Table'!$A585)-LEN(SUBSTITUTE('Special Help Table'!$A585," and",""))=0,LEN('Special Help Table'!$A585)-LEN(SUBSTITUTE('Special Help Table'!$A585,",","",FIND(" ",'Special Help Table'!$A585)+1))=0),RIGHT('Special Help Table'!$A585,LEN('Special Help Table'!$A585)-FIND(", ",'Special Help Table'!$A585))&amp;" "&amp;LEFT('Special Help Table'!$A585,FIND(",",'Special Help Table'!$A585)-1),AND(LEN('Special Help Table'!$A585)-LEN(SUBSTITUTE('Special Help Table'!$A585,"editor",""))=6,LEN('Special Help Table'!$A585)-LEN(SUBSTITUTE('Special Help Table'!$A585,"(",""))=0,LEN('Special Help Table'!$A585)-LEN(SUBSTITUTE('Special Help Table'!$A585,"and",""))=3,LEN('Special Help Table'!$A585)-LEN(SUBSTITUTE('Special Help Table'!$A585,",",""))=1,LEN('Special Help Table'!$A585)-LEN(SUBSTITUTE('Special Help Table'!$A585," ",""))=3),'Special Help Table'!$A585)</f>
        <v xml:space="preserve"> John Piper</v>
      </c>
      <c r="C585" s="4" t="s">
        <v>1105</v>
      </c>
      <c r="D585" s="2"/>
      <c r="E585" s="2" t="s">
        <v>16</v>
      </c>
      <c r="F585" s="2" t="s">
        <v>17</v>
      </c>
      <c r="G585" s="2"/>
      <c r="H585" s="2"/>
      <c r="I585" s="2"/>
      <c r="J585" s="2" t="s">
        <v>372</v>
      </c>
      <c r="K585" s="3">
        <v>40043</v>
      </c>
      <c r="L585" s="2"/>
      <c r="M585" s="2"/>
      <c r="N585" s="2" t="s">
        <v>18</v>
      </c>
    </row>
    <row r="586" spans="1:14" ht="15.75" customHeight="1" x14ac:dyDescent="0.35">
      <c r="A586" s="2" t="s">
        <v>1088</v>
      </c>
      <c r="B586" s="2" t="str" cm="1">
        <f t="array" ref="B586">_xlfn.IFS(AND(LEN('Special Help Table'!$A586)-(LEN(SUBSTITUTE('Special Help Table'!$A586,";","")))=0,LEN('Special Help Table'!$A586)-LEN(SUBSTITUTE('Special Help Table'!$A586,",",""))=1,LEN('Special Help Table'!$A586)-LEN(SUBSTITUTE('Special Help Table'!$A586,"and ",""))=0),MID('Special Help Table'!$A586&amp;" "&amp;'Special Help Table'!$A586,SEARCH(", ",'Special Help Table'!$A586)+1,LEN('Special Help Table'!$A586)),AND(LEN('Special Help Table'!$A586)-(LEN(SUBSTITUTE('Special Help Table'!$A586,";","")))=1,LEN('Special Help Table'!$A586)-LEN(SUBSTITUTE('Special Help Table'!$A586,"and ",""))=0),MID('Special Help Table'!$A586,SEARCH(",",'Special Help Table'!$A586)+1,(SEARCH(";",'Special Help Table'!$A586)-1)-SEARCH(",",'Special Help Table'!$A586))&amp;" "&amp;LEFT('Special Help Table'!$A586,SEARCH(",",'Special Help Table'!$A586)-1)&amp;";"&amp;RIGHT('Special Help Table'!$A586,LEN('Special Help Table'!$A586)-SEARCH(",",'Special Help Table'!$A586,SEARCH(";",'Special Help Table'!$A586)))&amp;" "&amp;MID('Special Help Table'!$A586,SEARCH("; ",'Special Help Table'!$A586)+2,SEARCH(",",'Special Help Table'!$A586,SEARCH(";",'Special Help Table'!$A586))-SEARCH(";",'Special Help Table'!$A586)-2),AND(LEN('Special Help Table'!$A586)-LEN(SUBSTITUTE('Special Help Table'!$A586,"and ",""))=0,LEN('Special Help Table'!$A586)-LEN(SUBSTITUTE('Special Help Table'!$A586,";",""))=0),'Special Help Table'!$A586,AND(LEN('Special Help Table'!$A586)-LEN(SUBSTITUTE('Special Help Table'!$A586,",","")=1),LEN('Special Help Table'!$A586)-LEN(SUBSTITUTE('Special Help Table'!$A586," ","")=20),LEN('Special Help Table'!$A586)-LEN(SUBSTITUTE('Special Help Table'!$A586," and",""))=0,LEN('Special Help Table'!$A586)-LEN(SUBSTITUTE('Special Help Table'!$A586,",","",FIND(" ",'Special Help Table'!$A586)+1))=0),RIGHT('Special Help Table'!$A586,LEN('Special Help Table'!$A586)-FIND(", ",'Special Help Table'!$A586))&amp;" "&amp;LEFT('Special Help Table'!$A586,FIND(",",'Special Help Table'!$A586)-1),AND(LEN('Special Help Table'!$A586)-LEN(SUBSTITUTE('Special Help Table'!$A586,"editor",""))=6,LEN('Special Help Table'!$A586)-LEN(SUBSTITUTE('Special Help Table'!$A586,"(",""))=0,LEN('Special Help Table'!$A586)-LEN(SUBSTITUTE('Special Help Table'!$A586,"and",""))=3,LEN('Special Help Table'!$A586)-LEN(SUBSTITUTE('Special Help Table'!$A586,",",""))=1,LEN('Special Help Table'!$A586)-LEN(SUBSTITUTE('Special Help Table'!$A586," ",""))=3),'Special Help Table'!$A586)</f>
        <v xml:space="preserve"> John Piper</v>
      </c>
      <c r="C586" s="4" t="s">
        <v>1106</v>
      </c>
      <c r="D586" s="2"/>
      <c r="E586" s="2" t="s">
        <v>16</v>
      </c>
      <c r="F586" s="2" t="s">
        <v>17</v>
      </c>
      <c r="G586" s="2"/>
      <c r="H586" s="2"/>
      <c r="I586" s="2"/>
      <c r="J586" s="2" t="s">
        <v>1030</v>
      </c>
      <c r="K586" s="3">
        <v>40044</v>
      </c>
      <c r="L586" s="2"/>
      <c r="M586" s="2"/>
      <c r="N586" s="2" t="s">
        <v>18</v>
      </c>
    </row>
    <row r="587" spans="1:14" ht="15.75" customHeight="1" x14ac:dyDescent="0.35">
      <c r="A587" s="2" t="s">
        <v>1088</v>
      </c>
      <c r="B587" s="2" t="str" cm="1">
        <f t="array" ref="B587">_xlfn.IFS(AND(LEN('Special Help Table'!$A587)-(LEN(SUBSTITUTE('Special Help Table'!$A587,";","")))=0,LEN('Special Help Table'!$A587)-LEN(SUBSTITUTE('Special Help Table'!$A587,",",""))=1,LEN('Special Help Table'!$A587)-LEN(SUBSTITUTE('Special Help Table'!$A587,"and ",""))=0),MID('Special Help Table'!$A587&amp;" "&amp;'Special Help Table'!$A587,SEARCH(", ",'Special Help Table'!$A587)+1,LEN('Special Help Table'!$A587)),AND(LEN('Special Help Table'!$A587)-(LEN(SUBSTITUTE('Special Help Table'!$A587,";","")))=1,LEN('Special Help Table'!$A587)-LEN(SUBSTITUTE('Special Help Table'!$A587,"and ",""))=0),MID('Special Help Table'!$A587,SEARCH(",",'Special Help Table'!$A587)+1,(SEARCH(";",'Special Help Table'!$A587)-1)-SEARCH(",",'Special Help Table'!$A587))&amp;" "&amp;LEFT('Special Help Table'!$A587,SEARCH(",",'Special Help Table'!$A587)-1)&amp;";"&amp;RIGHT('Special Help Table'!$A587,LEN('Special Help Table'!$A587)-SEARCH(",",'Special Help Table'!$A587,SEARCH(";",'Special Help Table'!$A587)))&amp;" "&amp;MID('Special Help Table'!$A587,SEARCH("; ",'Special Help Table'!$A587)+2,SEARCH(",",'Special Help Table'!$A587,SEARCH(";",'Special Help Table'!$A587))-SEARCH(";",'Special Help Table'!$A587)-2),AND(LEN('Special Help Table'!$A587)-LEN(SUBSTITUTE('Special Help Table'!$A587,"and ",""))=0,LEN('Special Help Table'!$A587)-LEN(SUBSTITUTE('Special Help Table'!$A587,";",""))=0),'Special Help Table'!$A587,AND(LEN('Special Help Table'!$A587)-LEN(SUBSTITUTE('Special Help Table'!$A587,",","")=1),LEN('Special Help Table'!$A587)-LEN(SUBSTITUTE('Special Help Table'!$A587," ","")=20),LEN('Special Help Table'!$A587)-LEN(SUBSTITUTE('Special Help Table'!$A587," and",""))=0,LEN('Special Help Table'!$A587)-LEN(SUBSTITUTE('Special Help Table'!$A587,",","",FIND(" ",'Special Help Table'!$A587)+1))=0),RIGHT('Special Help Table'!$A587,LEN('Special Help Table'!$A587)-FIND(", ",'Special Help Table'!$A587))&amp;" "&amp;LEFT('Special Help Table'!$A587,FIND(",",'Special Help Table'!$A587)-1),AND(LEN('Special Help Table'!$A587)-LEN(SUBSTITUTE('Special Help Table'!$A587,"editor",""))=6,LEN('Special Help Table'!$A587)-LEN(SUBSTITUTE('Special Help Table'!$A587,"(",""))=0,LEN('Special Help Table'!$A587)-LEN(SUBSTITUTE('Special Help Table'!$A587,"and",""))=3,LEN('Special Help Table'!$A587)-LEN(SUBSTITUTE('Special Help Table'!$A587,",",""))=1,LEN('Special Help Table'!$A587)-LEN(SUBSTITUTE('Special Help Table'!$A587," ",""))=3),'Special Help Table'!$A587)</f>
        <v xml:space="preserve"> John Piper</v>
      </c>
      <c r="C587" s="4" t="s">
        <v>1107</v>
      </c>
      <c r="D587" s="2"/>
      <c r="E587" s="2" t="s">
        <v>16</v>
      </c>
      <c r="F587" s="2" t="s">
        <v>17</v>
      </c>
      <c r="G587" s="2"/>
      <c r="H587" s="2"/>
      <c r="I587" s="2"/>
      <c r="J587" s="2" t="s">
        <v>1108</v>
      </c>
      <c r="K587" s="3">
        <v>40045</v>
      </c>
      <c r="L587" s="2"/>
      <c r="M587" s="2"/>
      <c r="N587" s="2" t="s">
        <v>18</v>
      </c>
    </row>
    <row r="588" spans="1:14" ht="15.75" customHeight="1" x14ac:dyDescent="0.35">
      <c r="A588" s="2" t="s">
        <v>1109</v>
      </c>
      <c r="B588" s="2" t="str" cm="1">
        <f t="array" ref="B588">_xlfn.IFS(AND(LEN('Special Help Table'!$A588)-(LEN(SUBSTITUTE('Special Help Table'!$A588,";","")))=0,LEN('Special Help Table'!$A588)-LEN(SUBSTITUTE('Special Help Table'!$A588,",",""))=1,LEN('Special Help Table'!$A588)-LEN(SUBSTITUTE('Special Help Table'!$A588,"and ",""))=0),MID('Special Help Table'!$A588&amp;" "&amp;'Special Help Table'!$A588,SEARCH(", ",'Special Help Table'!$A588)+1,LEN('Special Help Table'!$A588)),AND(LEN('Special Help Table'!$A588)-(LEN(SUBSTITUTE('Special Help Table'!$A588,";","")))=1,LEN('Special Help Table'!$A588)-LEN(SUBSTITUTE('Special Help Table'!$A588,"and ",""))=0),MID('Special Help Table'!$A588,SEARCH(",",'Special Help Table'!$A588)+1,(SEARCH(";",'Special Help Table'!$A588)-1)-SEARCH(",",'Special Help Table'!$A588))&amp;" "&amp;LEFT('Special Help Table'!$A588,SEARCH(",",'Special Help Table'!$A588)-1)&amp;";"&amp;RIGHT('Special Help Table'!$A588,LEN('Special Help Table'!$A588)-SEARCH(",",'Special Help Table'!$A588,SEARCH(";",'Special Help Table'!$A588)))&amp;" "&amp;MID('Special Help Table'!$A588,SEARCH("; ",'Special Help Table'!$A588)+2,SEARCH(",",'Special Help Table'!$A588,SEARCH(";",'Special Help Table'!$A588))-SEARCH(";",'Special Help Table'!$A588)-2),AND(LEN('Special Help Table'!$A588)-LEN(SUBSTITUTE('Special Help Table'!$A588,"and ",""))=0,LEN('Special Help Table'!$A588)-LEN(SUBSTITUTE('Special Help Table'!$A588,";",""))=0),'Special Help Table'!$A588,AND(LEN('Special Help Table'!$A588)-LEN(SUBSTITUTE('Special Help Table'!$A588,",","")=1),LEN('Special Help Table'!$A588)-LEN(SUBSTITUTE('Special Help Table'!$A588," ","")=20),LEN('Special Help Table'!$A588)-LEN(SUBSTITUTE('Special Help Table'!$A588," and",""))=0,LEN('Special Help Table'!$A588)-LEN(SUBSTITUTE('Special Help Table'!$A588,",","",FIND(" ",'Special Help Table'!$A588)+1))=0),RIGHT('Special Help Table'!$A588,LEN('Special Help Table'!$A588)-FIND(", ",'Special Help Table'!$A588))&amp;" "&amp;LEFT('Special Help Table'!$A588,FIND(",",'Special Help Table'!$A588)-1),AND(LEN('Special Help Table'!$A588)-LEN(SUBSTITUTE('Special Help Table'!$A588,"editor",""))=6,LEN('Special Help Table'!$A588)-LEN(SUBSTITUTE('Special Help Table'!$A588,"(",""))=0,LEN('Special Help Table'!$A588)-LEN(SUBSTITUTE('Special Help Table'!$A588,"and",""))=3,LEN('Special Help Table'!$A588)-LEN(SUBSTITUTE('Special Help Table'!$A588,",",""))=1,LEN('Special Help Table'!$A588)-LEN(SUBSTITUTE('Special Help Table'!$A588," ",""))=3),'Special Help Table'!$A588)</f>
        <v xml:space="preserve"> Noël Piper</v>
      </c>
      <c r="C588" s="4" t="s">
        <v>1110</v>
      </c>
      <c r="D588" s="2"/>
      <c r="E588" s="2" t="s">
        <v>16</v>
      </c>
      <c r="F588" s="2" t="s">
        <v>39</v>
      </c>
      <c r="G588" s="2"/>
      <c r="H588" s="2"/>
      <c r="I588" s="2"/>
      <c r="J588" s="2" t="s">
        <v>230</v>
      </c>
      <c r="K588" s="3">
        <v>40046</v>
      </c>
      <c r="L588" s="2"/>
      <c r="M588" s="2"/>
      <c r="N588" s="2" t="s">
        <v>18</v>
      </c>
    </row>
    <row r="589" spans="1:14" ht="15.75" customHeight="1" x14ac:dyDescent="0.35">
      <c r="A589" s="2" t="s">
        <v>1111</v>
      </c>
      <c r="B589" s="2" t="str" cm="1">
        <f t="array" ref="B589">_xlfn.IFS(AND(LEN('Special Help Table'!$A589)-(LEN(SUBSTITUTE('Special Help Table'!$A589,";","")))=0,LEN('Special Help Table'!$A589)-LEN(SUBSTITUTE('Special Help Table'!$A589,",",""))=1,LEN('Special Help Table'!$A589)-LEN(SUBSTITUTE('Special Help Table'!$A589,"and ",""))=0),MID('Special Help Table'!$A589&amp;" "&amp;'Special Help Table'!$A589,SEARCH(", ",'Special Help Table'!$A589)+1,LEN('Special Help Table'!$A589)),AND(LEN('Special Help Table'!$A589)-(LEN(SUBSTITUTE('Special Help Table'!$A589,";","")))=1,LEN('Special Help Table'!$A589)-LEN(SUBSTITUTE('Special Help Table'!$A589,"and ",""))=0),MID('Special Help Table'!$A589,SEARCH(",",'Special Help Table'!$A589)+1,(SEARCH(";",'Special Help Table'!$A589)-1)-SEARCH(",",'Special Help Table'!$A589))&amp;" "&amp;LEFT('Special Help Table'!$A589,SEARCH(",",'Special Help Table'!$A589)-1)&amp;";"&amp;RIGHT('Special Help Table'!$A589,LEN('Special Help Table'!$A589)-SEARCH(",",'Special Help Table'!$A589,SEARCH(";",'Special Help Table'!$A589)))&amp;" "&amp;MID('Special Help Table'!$A589,SEARCH("; ",'Special Help Table'!$A589)+2,SEARCH(",",'Special Help Table'!$A589,SEARCH(";",'Special Help Table'!$A589))-SEARCH(";",'Special Help Table'!$A589)-2),AND(LEN('Special Help Table'!$A589)-LEN(SUBSTITUTE('Special Help Table'!$A589,"and ",""))=0,LEN('Special Help Table'!$A589)-LEN(SUBSTITUTE('Special Help Table'!$A589,";",""))=0),'Special Help Table'!$A589,AND(LEN('Special Help Table'!$A589)-LEN(SUBSTITUTE('Special Help Table'!$A589,",","")=1),LEN('Special Help Table'!$A589)-LEN(SUBSTITUTE('Special Help Table'!$A589," ","")=20),LEN('Special Help Table'!$A589)-LEN(SUBSTITUTE('Special Help Table'!$A589," and",""))=0,LEN('Special Help Table'!$A589)-LEN(SUBSTITUTE('Special Help Table'!$A589,",","",FIND(" ",'Special Help Table'!$A589)+1))=0),RIGHT('Special Help Table'!$A589,LEN('Special Help Table'!$A589)-FIND(", ",'Special Help Table'!$A589))&amp;" "&amp;LEFT('Special Help Table'!$A589,FIND(",",'Special Help Table'!$A589)-1),AND(LEN('Special Help Table'!$A589)-LEN(SUBSTITUTE('Special Help Table'!$A589,"editor",""))=6,LEN('Special Help Table'!$A589)-LEN(SUBSTITUTE('Special Help Table'!$A589,"(",""))=0,LEN('Special Help Table'!$A589)-LEN(SUBSTITUTE('Special Help Table'!$A589,"and",""))=3,LEN('Special Help Table'!$A589)-LEN(SUBSTITUTE('Special Help Table'!$A589,",",""))=1,LEN('Special Help Table'!$A589)-LEN(SUBSTITUTE('Special Help Table'!$A589," ",""))=3),'Special Help Table'!$A589)</f>
        <v xml:space="preserve"> Rebecca Manley Pippert</v>
      </c>
      <c r="C589" s="4" t="s">
        <v>1112</v>
      </c>
      <c r="D589" s="2"/>
      <c r="E589" s="2" t="s">
        <v>16</v>
      </c>
      <c r="F589" s="2" t="s">
        <v>36</v>
      </c>
      <c r="G589" s="2"/>
      <c r="H589" s="2"/>
      <c r="I589" s="2"/>
      <c r="J589" s="2"/>
      <c r="K589" s="3">
        <v>44044</v>
      </c>
      <c r="L589" s="2"/>
      <c r="M589" s="2"/>
      <c r="N589" s="2" t="s">
        <v>18</v>
      </c>
    </row>
    <row r="590" spans="1:14" ht="15.75" customHeight="1" x14ac:dyDescent="0.35">
      <c r="A590" s="2" t="s">
        <v>1113</v>
      </c>
      <c r="B590" s="2" t="str" cm="1">
        <f t="array" ref="B590">_xlfn.IFS(AND(LEN('Special Help Table'!$A590)-(LEN(SUBSTITUTE('Special Help Table'!$A590,";","")))=0,LEN('Special Help Table'!$A590)-LEN(SUBSTITUTE('Special Help Table'!$A590,",",""))=1,LEN('Special Help Table'!$A590)-LEN(SUBSTITUTE('Special Help Table'!$A590,"and ",""))=0),MID('Special Help Table'!$A590&amp;" "&amp;'Special Help Table'!$A590,SEARCH(", ",'Special Help Table'!$A590)+1,LEN('Special Help Table'!$A590)),AND(LEN('Special Help Table'!$A590)-(LEN(SUBSTITUTE('Special Help Table'!$A590,";","")))=1,LEN('Special Help Table'!$A590)-LEN(SUBSTITUTE('Special Help Table'!$A590,"and ",""))=0),MID('Special Help Table'!$A590,SEARCH(",",'Special Help Table'!$A590)+1,(SEARCH(";",'Special Help Table'!$A590)-1)-SEARCH(",",'Special Help Table'!$A590))&amp;" "&amp;LEFT('Special Help Table'!$A590,SEARCH(",",'Special Help Table'!$A590)-1)&amp;";"&amp;RIGHT('Special Help Table'!$A590,LEN('Special Help Table'!$A590)-SEARCH(",",'Special Help Table'!$A590,SEARCH(";",'Special Help Table'!$A590)))&amp;" "&amp;MID('Special Help Table'!$A590,SEARCH("; ",'Special Help Table'!$A590)+2,SEARCH(",",'Special Help Table'!$A590,SEARCH(";",'Special Help Table'!$A590))-SEARCH(";",'Special Help Table'!$A590)-2),AND(LEN('Special Help Table'!$A590)-LEN(SUBSTITUTE('Special Help Table'!$A590,"and ",""))=0,LEN('Special Help Table'!$A590)-LEN(SUBSTITUTE('Special Help Table'!$A590,";",""))=0),'Special Help Table'!$A590,AND(LEN('Special Help Table'!$A590)-LEN(SUBSTITUTE('Special Help Table'!$A590,",","")=1),LEN('Special Help Table'!$A590)-LEN(SUBSTITUTE('Special Help Table'!$A590," ","")=20),LEN('Special Help Table'!$A590)-LEN(SUBSTITUTE('Special Help Table'!$A590," and",""))=0,LEN('Special Help Table'!$A590)-LEN(SUBSTITUTE('Special Help Table'!$A590,",","",FIND(" ",'Special Help Table'!$A590)+1))=0),RIGHT('Special Help Table'!$A590,LEN('Special Help Table'!$A590)-FIND(", ",'Special Help Table'!$A590))&amp;" "&amp;LEFT('Special Help Table'!$A590,FIND(",",'Special Help Table'!$A590)-1),AND(LEN('Special Help Table'!$A590)-LEN(SUBSTITUTE('Special Help Table'!$A590,"editor",""))=6,LEN('Special Help Table'!$A590)-LEN(SUBSTITUTE('Special Help Table'!$A590,"(",""))=0,LEN('Special Help Table'!$A590)-LEN(SUBSTITUTE('Special Help Table'!$A590,"and",""))=3,LEN('Special Help Table'!$A590)-LEN(SUBSTITUTE('Special Help Table'!$A590,",",""))=1,LEN('Special Help Table'!$A590)-LEN(SUBSTITUTE('Special Help Table'!$A590," ",""))=3),'Special Help Table'!$A590)</f>
        <v xml:space="preserve"> Robert Plant</v>
      </c>
      <c r="C590" s="4" t="s">
        <v>1114</v>
      </c>
      <c r="D590" s="2" t="s">
        <v>1115</v>
      </c>
      <c r="E590" s="2" t="s">
        <v>16</v>
      </c>
      <c r="F590" s="2" t="s">
        <v>72</v>
      </c>
      <c r="G590" s="2"/>
      <c r="H590" s="2"/>
      <c r="I590" s="2"/>
      <c r="J590" s="2"/>
      <c r="K590" s="3">
        <v>41804</v>
      </c>
      <c r="L590" s="2"/>
      <c r="M590" s="2"/>
      <c r="N590" s="2" t="s">
        <v>18</v>
      </c>
    </row>
    <row r="591" spans="1:14" ht="15.75" customHeight="1" x14ac:dyDescent="0.35">
      <c r="A591" s="2" t="s">
        <v>1116</v>
      </c>
      <c r="B591" s="2" t="str" cm="1">
        <f t="array" ref="B591">_xlfn.IFS(AND(LEN('Special Help Table'!$A591)-(LEN(SUBSTITUTE('Special Help Table'!$A591,";","")))=0,LEN('Special Help Table'!$A591)-LEN(SUBSTITUTE('Special Help Table'!$A591,",",""))=1,LEN('Special Help Table'!$A591)-LEN(SUBSTITUTE('Special Help Table'!$A591,"and ",""))=0),MID('Special Help Table'!$A591&amp;" "&amp;'Special Help Table'!$A591,SEARCH(", ",'Special Help Table'!$A591)+1,LEN('Special Help Table'!$A591)),AND(LEN('Special Help Table'!$A591)-(LEN(SUBSTITUTE('Special Help Table'!$A591,";","")))=1,LEN('Special Help Table'!$A591)-LEN(SUBSTITUTE('Special Help Table'!$A591,"and ",""))=0),MID('Special Help Table'!$A591,SEARCH(",",'Special Help Table'!$A591)+1,(SEARCH(";",'Special Help Table'!$A591)-1)-SEARCH(",",'Special Help Table'!$A591))&amp;" "&amp;LEFT('Special Help Table'!$A591,SEARCH(",",'Special Help Table'!$A591)-1)&amp;";"&amp;RIGHT('Special Help Table'!$A591,LEN('Special Help Table'!$A591)-SEARCH(",",'Special Help Table'!$A591,SEARCH(";",'Special Help Table'!$A591)))&amp;" "&amp;MID('Special Help Table'!$A591,SEARCH("; ",'Special Help Table'!$A591)+2,SEARCH(",",'Special Help Table'!$A591,SEARCH(";",'Special Help Table'!$A591))-SEARCH(";",'Special Help Table'!$A591)-2),AND(LEN('Special Help Table'!$A591)-LEN(SUBSTITUTE('Special Help Table'!$A591,"and ",""))=0,LEN('Special Help Table'!$A591)-LEN(SUBSTITUTE('Special Help Table'!$A591,";",""))=0),'Special Help Table'!$A591,AND(LEN('Special Help Table'!$A591)-LEN(SUBSTITUTE('Special Help Table'!$A591,",","")=1),LEN('Special Help Table'!$A591)-LEN(SUBSTITUTE('Special Help Table'!$A591," ","")=20),LEN('Special Help Table'!$A591)-LEN(SUBSTITUTE('Special Help Table'!$A591," and",""))=0,LEN('Special Help Table'!$A591)-LEN(SUBSTITUTE('Special Help Table'!$A591,",","",FIND(" ",'Special Help Table'!$A591)+1))=0),RIGHT('Special Help Table'!$A591,LEN('Special Help Table'!$A591)-FIND(", ",'Special Help Table'!$A591))&amp;" "&amp;LEFT('Special Help Table'!$A591,FIND(",",'Special Help Table'!$A591)-1),AND(LEN('Special Help Table'!$A591)-LEN(SUBSTITUTE('Special Help Table'!$A591,"editor",""))=6,LEN('Special Help Table'!$A591)-LEN(SUBSTITUTE('Special Help Table'!$A591,"(",""))=0,LEN('Special Help Table'!$A591)-LEN(SUBSTITUTE('Special Help Table'!$A591,"and",""))=3,LEN('Special Help Table'!$A591)-LEN(SUBSTITUTE('Special Help Table'!$A591,",",""))=1,LEN('Special Help Table'!$A591)-LEN(SUBSTITUTE('Special Help Table'!$A591," ",""))=3),'Special Help Table'!$A591)</f>
        <v xml:space="preserve"> Ginger Plowman</v>
      </c>
      <c r="C591" s="4" t="s">
        <v>1117</v>
      </c>
      <c r="D591" s="2"/>
      <c r="E591" s="2" t="s">
        <v>16</v>
      </c>
      <c r="F591" s="2" t="s">
        <v>17</v>
      </c>
      <c r="G591" s="2"/>
      <c r="H591" s="2"/>
      <c r="I591" s="2" t="s">
        <v>100</v>
      </c>
      <c r="J591" s="2"/>
      <c r="K591" s="3">
        <v>40047</v>
      </c>
      <c r="L591" s="2"/>
      <c r="M591" s="2"/>
      <c r="N591" s="2" t="s">
        <v>18</v>
      </c>
    </row>
    <row r="592" spans="1:14" ht="15.75" customHeight="1" x14ac:dyDescent="0.35">
      <c r="A592" s="2" t="s">
        <v>1118</v>
      </c>
      <c r="B592" s="2" t="str" cm="1">
        <f t="array" ref="B592">_xlfn.IFS(AND(LEN('Special Help Table'!$A592)-(LEN(SUBSTITUTE('Special Help Table'!$A592,";","")))=0,LEN('Special Help Table'!$A592)-LEN(SUBSTITUTE('Special Help Table'!$A592,",",""))=1,LEN('Special Help Table'!$A592)-LEN(SUBSTITUTE('Special Help Table'!$A592,"and ",""))=0),MID('Special Help Table'!$A592&amp;" "&amp;'Special Help Table'!$A592,SEARCH(", ",'Special Help Table'!$A592)+1,LEN('Special Help Table'!$A592)),AND(LEN('Special Help Table'!$A592)-(LEN(SUBSTITUTE('Special Help Table'!$A592,";","")))=1,LEN('Special Help Table'!$A592)-LEN(SUBSTITUTE('Special Help Table'!$A592,"and ",""))=0),MID('Special Help Table'!$A592,SEARCH(",",'Special Help Table'!$A592)+1,(SEARCH(";",'Special Help Table'!$A592)-1)-SEARCH(",",'Special Help Table'!$A592))&amp;" "&amp;LEFT('Special Help Table'!$A592,SEARCH(",",'Special Help Table'!$A592)-1)&amp;";"&amp;RIGHT('Special Help Table'!$A592,LEN('Special Help Table'!$A592)-SEARCH(",",'Special Help Table'!$A592,SEARCH(";",'Special Help Table'!$A592)))&amp;" "&amp;MID('Special Help Table'!$A592,SEARCH("; ",'Special Help Table'!$A592)+2,SEARCH(",",'Special Help Table'!$A592,SEARCH(";",'Special Help Table'!$A592))-SEARCH(";",'Special Help Table'!$A592)-2),AND(LEN('Special Help Table'!$A592)-LEN(SUBSTITUTE('Special Help Table'!$A592,"and ",""))=0,LEN('Special Help Table'!$A592)-LEN(SUBSTITUTE('Special Help Table'!$A592,";",""))=0),'Special Help Table'!$A592,AND(LEN('Special Help Table'!$A592)-LEN(SUBSTITUTE('Special Help Table'!$A592,",","")=1),LEN('Special Help Table'!$A592)-LEN(SUBSTITUTE('Special Help Table'!$A592," ","")=20),LEN('Special Help Table'!$A592)-LEN(SUBSTITUTE('Special Help Table'!$A592," and",""))=0,LEN('Special Help Table'!$A592)-LEN(SUBSTITUTE('Special Help Table'!$A592,",","",FIND(" ",'Special Help Table'!$A592)+1))=0),RIGHT('Special Help Table'!$A592,LEN('Special Help Table'!$A592)-FIND(", ",'Special Help Table'!$A592))&amp;" "&amp;LEFT('Special Help Table'!$A592,FIND(",",'Special Help Table'!$A592)-1),AND(LEN('Special Help Table'!$A592)-LEN(SUBSTITUTE('Special Help Table'!$A592,"editor",""))=6,LEN('Special Help Table'!$A592)-LEN(SUBSTITUTE('Special Help Table'!$A592,"(",""))=0,LEN('Special Help Table'!$A592)-LEN(SUBSTITUTE('Special Help Table'!$A592,"and",""))=3,LEN('Special Help Table'!$A592)-LEN(SUBSTITUTE('Special Help Table'!$A592,",",""))=1,LEN('Special Help Table'!$A592)-LEN(SUBSTITUTE('Special Help Table'!$A592," ",""))=3),'Special Help Table'!$A592)</f>
        <v xml:space="preserve"> Neil Postman</v>
      </c>
      <c r="C592" s="4" t="s">
        <v>1119</v>
      </c>
      <c r="D592" s="2"/>
      <c r="E592" s="2" t="s">
        <v>16</v>
      </c>
      <c r="F592" s="2" t="s">
        <v>20</v>
      </c>
      <c r="G592" s="2"/>
      <c r="H592" s="2"/>
      <c r="I592" s="2"/>
      <c r="J592" s="2" t="s">
        <v>551</v>
      </c>
      <c r="K592" s="3">
        <v>40048</v>
      </c>
      <c r="L592" s="2"/>
      <c r="M592" s="2"/>
      <c r="N592" s="2" t="s">
        <v>18</v>
      </c>
    </row>
    <row r="593" spans="1:14" ht="15.75" customHeight="1" x14ac:dyDescent="0.35">
      <c r="A593" s="2" t="s">
        <v>1120</v>
      </c>
      <c r="B593" s="2" t="str" cm="1">
        <f t="array" ref="B593">_xlfn.IFS(AND(LEN('Special Help Table'!$A593)-(LEN(SUBSTITUTE('Special Help Table'!$A593,";","")))=0,LEN('Special Help Table'!$A593)-LEN(SUBSTITUTE('Special Help Table'!$A593,",",""))=1,LEN('Special Help Table'!$A593)-LEN(SUBSTITUTE('Special Help Table'!$A593,"and ",""))=0),MID('Special Help Table'!$A593&amp;" "&amp;'Special Help Table'!$A593,SEARCH(", ",'Special Help Table'!$A593)+1,LEN('Special Help Table'!$A593)),AND(LEN('Special Help Table'!$A593)-(LEN(SUBSTITUTE('Special Help Table'!$A593,";","")))=1,LEN('Special Help Table'!$A593)-LEN(SUBSTITUTE('Special Help Table'!$A593,"and ",""))=0),MID('Special Help Table'!$A593,SEARCH(",",'Special Help Table'!$A593)+1,(SEARCH(";",'Special Help Table'!$A593)-1)-SEARCH(",",'Special Help Table'!$A593))&amp;" "&amp;LEFT('Special Help Table'!$A593,SEARCH(",",'Special Help Table'!$A593)-1)&amp;";"&amp;RIGHT('Special Help Table'!$A593,LEN('Special Help Table'!$A593)-SEARCH(",",'Special Help Table'!$A593,SEARCH(";",'Special Help Table'!$A593)))&amp;" "&amp;MID('Special Help Table'!$A593,SEARCH("; ",'Special Help Table'!$A593)+2,SEARCH(",",'Special Help Table'!$A593,SEARCH(";",'Special Help Table'!$A593))-SEARCH(";",'Special Help Table'!$A593)-2),AND(LEN('Special Help Table'!$A593)-LEN(SUBSTITUTE('Special Help Table'!$A593,"and ",""))=0,LEN('Special Help Table'!$A593)-LEN(SUBSTITUTE('Special Help Table'!$A593,";",""))=0),'Special Help Table'!$A593,AND(LEN('Special Help Table'!$A593)-LEN(SUBSTITUTE('Special Help Table'!$A593,",","")=1),LEN('Special Help Table'!$A593)-LEN(SUBSTITUTE('Special Help Table'!$A593," ","")=20),LEN('Special Help Table'!$A593)-LEN(SUBSTITUTE('Special Help Table'!$A593," and",""))=0,LEN('Special Help Table'!$A593)-LEN(SUBSTITUTE('Special Help Table'!$A593,",","",FIND(" ",'Special Help Table'!$A593)+1))=0),RIGHT('Special Help Table'!$A593,LEN('Special Help Table'!$A593)-FIND(", ",'Special Help Table'!$A593))&amp;" "&amp;LEFT('Special Help Table'!$A593,FIND(",",'Special Help Table'!$A593)-1),AND(LEN('Special Help Table'!$A593)-LEN(SUBSTITUTE('Special Help Table'!$A593,"editor",""))=6,LEN('Special Help Table'!$A593)-LEN(SUBSTITUTE('Special Help Table'!$A593,"(",""))=0,LEN('Special Help Table'!$A593)-LEN(SUBSTITUTE('Special Help Table'!$A593,"and",""))=3,LEN('Special Help Table'!$A593)-LEN(SUBSTITUTE('Special Help Table'!$A593,",",""))=1,LEN('Special Help Table'!$A593)-LEN(SUBSTITUTE('Special Help Table'!$A593," ",""))=3),'Special Help Table'!$A593)</f>
        <v xml:space="preserve"> David Powlison</v>
      </c>
      <c r="C593" s="4" t="s">
        <v>1121</v>
      </c>
      <c r="D593" s="2"/>
      <c r="E593" s="2" t="s">
        <v>16</v>
      </c>
      <c r="F593" s="2" t="s">
        <v>17</v>
      </c>
      <c r="G593" s="2"/>
      <c r="H593" s="2"/>
      <c r="I593" s="2"/>
      <c r="J593" s="2" t="s">
        <v>22</v>
      </c>
      <c r="K593" s="3">
        <v>41773</v>
      </c>
      <c r="L593" s="2"/>
      <c r="M593" s="2"/>
      <c r="N593" s="2" t="s">
        <v>18</v>
      </c>
    </row>
    <row r="594" spans="1:14" ht="15.75" customHeight="1" x14ac:dyDescent="0.35">
      <c r="A594" s="2" t="s">
        <v>1120</v>
      </c>
      <c r="B594" s="2" t="str" cm="1">
        <f t="array" ref="B594">_xlfn.IFS(AND(LEN('Special Help Table'!$A594)-(LEN(SUBSTITUTE('Special Help Table'!$A594,";","")))=0,LEN('Special Help Table'!$A594)-LEN(SUBSTITUTE('Special Help Table'!$A594,",",""))=1,LEN('Special Help Table'!$A594)-LEN(SUBSTITUTE('Special Help Table'!$A594,"and ",""))=0),MID('Special Help Table'!$A594&amp;" "&amp;'Special Help Table'!$A594,SEARCH(", ",'Special Help Table'!$A594)+1,LEN('Special Help Table'!$A594)),AND(LEN('Special Help Table'!$A594)-(LEN(SUBSTITUTE('Special Help Table'!$A594,";","")))=1,LEN('Special Help Table'!$A594)-LEN(SUBSTITUTE('Special Help Table'!$A594,"and ",""))=0),MID('Special Help Table'!$A594,SEARCH(",",'Special Help Table'!$A594)+1,(SEARCH(";",'Special Help Table'!$A594)-1)-SEARCH(",",'Special Help Table'!$A594))&amp;" "&amp;LEFT('Special Help Table'!$A594,SEARCH(",",'Special Help Table'!$A594)-1)&amp;";"&amp;RIGHT('Special Help Table'!$A594,LEN('Special Help Table'!$A594)-SEARCH(",",'Special Help Table'!$A594,SEARCH(";",'Special Help Table'!$A594)))&amp;" "&amp;MID('Special Help Table'!$A594,SEARCH("; ",'Special Help Table'!$A594)+2,SEARCH(",",'Special Help Table'!$A594,SEARCH(";",'Special Help Table'!$A594))-SEARCH(";",'Special Help Table'!$A594)-2),AND(LEN('Special Help Table'!$A594)-LEN(SUBSTITUTE('Special Help Table'!$A594,"and ",""))=0,LEN('Special Help Table'!$A594)-LEN(SUBSTITUTE('Special Help Table'!$A594,";",""))=0),'Special Help Table'!$A594,AND(LEN('Special Help Table'!$A594)-LEN(SUBSTITUTE('Special Help Table'!$A594,",","")=1),LEN('Special Help Table'!$A594)-LEN(SUBSTITUTE('Special Help Table'!$A594," ","")=20),LEN('Special Help Table'!$A594)-LEN(SUBSTITUTE('Special Help Table'!$A594," and",""))=0,LEN('Special Help Table'!$A594)-LEN(SUBSTITUTE('Special Help Table'!$A594,",","",FIND(" ",'Special Help Table'!$A594)+1))=0),RIGHT('Special Help Table'!$A594,LEN('Special Help Table'!$A594)-FIND(", ",'Special Help Table'!$A594))&amp;" "&amp;LEFT('Special Help Table'!$A594,FIND(",",'Special Help Table'!$A594)-1),AND(LEN('Special Help Table'!$A594)-LEN(SUBSTITUTE('Special Help Table'!$A594,"editor",""))=6,LEN('Special Help Table'!$A594)-LEN(SUBSTITUTE('Special Help Table'!$A594,"(",""))=0,LEN('Special Help Table'!$A594)-LEN(SUBSTITUTE('Special Help Table'!$A594,"and",""))=3,LEN('Special Help Table'!$A594)-LEN(SUBSTITUTE('Special Help Table'!$A594,",",""))=1,LEN('Special Help Table'!$A594)-LEN(SUBSTITUTE('Special Help Table'!$A594," ",""))=3),'Special Help Table'!$A594)</f>
        <v xml:space="preserve"> David Powlison</v>
      </c>
      <c r="C594" s="4" t="s">
        <v>1122</v>
      </c>
      <c r="D594" s="2"/>
      <c r="E594" s="2" t="s">
        <v>16</v>
      </c>
      <c r="F594" s="2" t="s">
        <v>17</v>
      </c>
      <c r="G594" s="2"/>
      <c r="H594" s="2"/>
      <c r="I594" s="2"/>
      <c r="J594" s="2" t="s">
        <v>188</v>
      </c>
      <c r="K594" s="3"/>
      <c r="L594" s="2"/>
      <c r="M594" s="2"/>
      <c r="N594" s="2" t="s">
        <v>18</v>
      </c>
    </row>
    <row r="595" spans="1:14" ht="15.75" customHeight="1" x14ac:dyDescent="0.35">
      <c r="A595" s="2" t="s">
        <v>1120</v>
      </c>
      <c r="B595" s="2" t="str" cm="1">
        <f t="array" ref="B595">_xlfn.IFS(AND(LEN('Special Help Table'!$A595)-(LEN(SUBSTITUTE('Special Help Table'!$A595,";","")))=0,LEN('Special Help Table'!$A595)-LEN(SUBSTITUTE('Special Help Table'!$A595,",",""))=1,LEN('Special Help Table'!$A595)-LEN(SUBSTITUTE('Special Help Table'!$A595,"and ",""))=0),MID('Special Help Table'!$A595&amp;" "&amp;'Special Help Table'!$A595,SEARCH(", ",'Special Help Table'!$A595)+1,LEN('Special Help Table'!$A595)),AND(LEN('Special Help Table'!$A595)-(LEN(SUBSTITUTE('Special Help Table'!$A595,";","")))=1,LEN('Special Help Table'!$A595)-LEN(SUBSTITUTE('Special Help Table'!$A595,"and ",""))=0),MID('Special Help Table'!$A595,SEARCH(",",'Special Help Table'!$A595)+1,(SEARCH(";",'Special Help Table'!$A595)-1)-SEARCH(",",'Special Help Table'!$A595))&amp;" "&amp;LEFT('Special Help Table'!$A595,SEARCH(",",'Special Help Table'!$A595)-1)&amp;";"&amp;RIGHT('Special Help Table'!$A595,LEN('Special Help Table'!$A595)-SEARCH(",",'Special Help Table'!$A595,SEARCH(";",'Special Help Table'!$A595)))&amp;" "&amp;MID('Special Help Table'!$A595,SEARCH("; ",'Special Help Table'!$A595)+2,SEARCH(",",'Special Help Table'!$A595,SEARCH(";",'Special Help Table'!$A595))-SEARCH(";",'Special Help Table'!$A595)-2),AND(LEN('Special Help Table'!$A595)-LEN(SUBSTITUTE('Special Help Table'!$A595,"and ",""))=0,LEN('Special Help Table'!$A595)-LEN(SUBSTITUTE('Special Help Table'!$A595,";",""))=0),'Special Help Table'!$A595,AND(LEN('Special Help Table'!$A595)-LEN(SUBSTITUTE('Special Help Table'!$A595,",","")=1),LEN('Special Help Table'!$A595)-LEN(SUBSTITUTE('Special Help Table'!$A595," ","")=20),LEN('Special Help Table'!$A595)-LEN(SUBSTITUTE('Special Help Table'!$A595," and",""))=0,LEN('Special Help Table'!$A595)-LEN(SUBSTITUTE('Special Help Table'!$A595,",","",FIND(" ",'Special Help Table'!$A595)+1))=0),RIGHT('Special Help Table'!$A595,LEN('Special Help Table'!$A595)-FIND(", ",'Special Help Table'!$A595))&amp;" "&amp;LEFT('Special Help Table'!$A595,FIND(",",'Special Help Table'!$A595)-1),AND(LEN('Special Help Table'!$A595)-LEN(SUBSTITUTE('Special Help Table'!$A595,"editor",""))=6,LEN('Special Help Table'!$A595)-LEN(SUBSTITUTE('Special Help Table'!$A595,"(",""))=0,LEN('Special Help Table'!$A595)-LEN(SUBSTITUTE('Special Help Table'!$A595,"and",""))=3,LEN('Special Help Table'!$A595)-LEN(SUBSTITUTE('Special Help Table'!$A595,",",""))=1,LEN('Special Help Table'!$A595)-LEN(SUBSTITUTE('Special Help Table'!$A595," ",""))=3),'Special Help Table'!$A595)</f>
        <v xml:space="preserve"> David Powlison</v>
      </c>
      <c r="C595" s="4" t="s">
        <v>1123</v>
      </c>
      <c r="D595" s="2"/>
      <c r="E595" s="2" t="s">
        <v>16</v>
      </c>
      <c r="F595" s="2" t="s">
        <v>17</v>
      </c>
      <c r="G595" s="2"/>
      <c r="H595" s="2"/>
      <c r="I595" s="2"/>
      <c r="J595" s="2" t="s">
        <v>56</v>
      </c>
      <c r="K595" s="3">
        <v>42677</v>
      </c>
      <c r="L595" s="2"/>
      <c r="M595" s="2"/>
      <c r="N595" s="2" t="s">
        <v>18</v>
      </c>
    </row>
    <row r="596" spans="1:14" ht="15.75" customHeight="1" x14ac:dyDescent="0.35">
      <c r="A596" s="2" t="s">
        <v>1120</v>
      </c>
      <c r="B596" s="2" t="str" cm="1">
        <f t="array" ref="B596">_xlfn.IFS(AND(LEN('Special Help Table'!$A596)-(LEN(SUBSTITUTE('Special Help Table'!$A596,";","")))=0,LEN('Special Help Table'!$A596)-LEN(SUBSTITUTE('Special Help Table'!$A596,",",""))=1,LEN('Special Help Table'!$A596)-LEN(SUBSTITUTE('Special Help Table'!$A596,"and ",""))=0),MID('Special Help Table'!$A596&amp;" "&amp;'Special Help Table'!$A596,SEARCH(", ",'Special Help Table'!$A596)+1,LEN('Special Help Table'!$A596)),AND(LEN('Special Help Table'!$A596)-(LEN(SUBSTITUTE('Special Help Table'!$A596,";","")))=1,LEN('Special Help Table'!$A596)-LEN(SUBSTITUTE('Special Help Table'!$A596,"and ",""))=0),MID('Special Help Table'!$A596,SEARCH(",",'Special Help Table'!$A596)+1,(SEARCH(";",'Special Help Table'!$A596)-1)-SEARCH(",",'Special Help Table'!$A596))&amp;" "&amp;LEFT('Special Help Table'!$A596,SEARCH(",",'Special Help Table'!$A596)-1)&amp;";"&amp;RIGHT('Special Help Table'!$A596,LEN('Special Help Table'!$A596)-SEARCH(",",'Special Help Table'!$A596,SEARCH(";",'Special Help Table'!$A596)))&amp;" "&amp;MID('Special Help Table'!$A596,SEARCH("; ",'Special Help Table'!$A596)+2,SEARCH(",",'Special Help Table'!$A596,SEARCH(";",'Special Help Table'!$A596))-SEARCH(";",'Special Help Table'!$A596)-2),AND(LEN('Special Help Table'!$A596)-LEN(SUBSTITUTE('Special Help Table'!$A596,"and ",""))=0,LEN('Special Help Table'!$A596)-LEN(SUBSTITUTE('Special Help Table'!$A596,";",""))=0),'Special Help Table'!$A596,AND(LEN('Special Help Table'!$A596)-LEN(SUBSTITUTE('Special Help Table'!$A596,",","")=1),LEN('Special Help Table'!$A596)-LEN(SUBSTITUTE('Special Help Table'!$A596," ","")=20),LEN('Special Help Table'!$A596)-LEN(SUBSTITUTE('Special Help Table'!$A596," and",""))=0,LEN('Special Help Table'!$A596)-LEN(SUBSTITUTE('Special Help Table'!$A596,",","",FIND(" ",'Special Help Table'!$A596)+1))=0),RIGHT('Special Help Table'!$A596,LEN('Special Help Table'!$A596)-FIND(", ",'Special Help Table'!$A596))&amp;" "&amp;LEFT('Special Help Table'!$A596,FIND(",",'Special Help Table'!$A596)-1),AND(LEN('Special Help Table'!$A596)-LEN(SUBSTITUTE('Special Help Table'!$A596,"editor",""))=6,LEN('Special Help Table'!$A596)-LEN(SUBSTITUTE('Special Help Table'!$A596,"(",""))=0,LEN('Special Help Table'!$A596)-LEN(SUBSTITUTE('Special Help Table'!$A596,"and",""))=3,LEN('Special Help Table'!$A596)-LEN(SUBSTITUTE('Special Help Table'!$A596,",",""))=1,LEN('Special Help Table'!$A596)-LEN(SUBSTITUTE('Special Help Table'!$A596," ",""))=3),'Special Help Table'!$A596)</f>
        <v xml:space="preserve"> David Powlison</v>
      </c>
      <c r="C596" s="4" t="s">
        <v>1124</v>
      </c>
      <c r="D596" s="2" t="s">
        <v>302</v>
      </c>
      <c r="E596" s="2" t="s">
        <v>16</v>
      </c>
      <c r="F596" s="2" t="s">
        <v>72</v>
      </c>
      <c r="G596" s="2"/>
      <c r="H596" s="2"/>
      <c r="I596" s="2"/>
      <c r="J596" s="2"/>
      <c r="K596" s="3">
        <v>43831</v>
      </c>
      <c r="L596" s="2"/>
      <c r="M596" s="2"/>
      <c r="N596" s="2" t="s">
        <v>18</v>
      </c>
    </row>
    <row r="597" spans="1:14" ht="15.75" customHeight="1" x14ac:dyDescent="0.35">
      <c r="A597" s="2" t="s">
        <v>1120</v>
      </c>
      <c r="B597" s="2" t="str" cm="1">
        <f t="array" ref="B597">_xlfn.IFS(AND(LEN('Special Help Table'!$A597)-(LEN(SUBSTITUTE('Special Help Table'!$A597,";","")))=0,LEN('Special Help Table'!$A597)-LEN(SUBSTITUTE('Special Help Table'!$A597,",",""))=1,LEN('Special Help Table'!$A597)-LEN(SUBSTITUTE('Special Help Table'!$A597,"and ",""))=0),MID('Special Help Table'!$A597&amp;" "&amp;'Special Help Table'!$A597,SEARCH(", ",'Special Help Table'!$A597)+1,LEN('Special Help Table'!$A597)),AND(LEN('Special Help Table'!$A597)-(LEN(SUBSTITUTE('Special Help Table'!$A597,";","")))=1,LEN('Special Help Table'!$A597)-LEN(SUBSTITUTE('Special Help Table'!$A597,"and ",""))=0),MID('Special Help Table'!$A597,SEARCH(",",'Special Help Table'!$A597)+1,(SEARCH(";",'Special Help Table'!$A597)-1)-SEARCH(",",'Special Help Table'!$A597))&amp;" "&amp;LEFT('Special Help Table'!$A597,SEARCH(",",'Special Help Table'!$A597)-1)&amp;";"&amp;RIGHT('Special Help Table'!$A597,LEN('Special Help Table'!$A597)-SEARCH(",",'Special Help Table'!$A597,SEARCH(";",'Special Help Table'!$A597)))&amp;" "&amp;MID('Special Help Table'!$A597,SEARCH("; ",'Special Help Table'!$A597)+2,SEARCH(",",'Special Help Table'!$A597,SEARCH(";",'Special Help Table'!$A597))-SEARCH(";",'Special Help Table'!$A597)-2),AND(LEN('Special Help Table'!$A597)-LEN(SUBSTITUTE('Special Help Table'!$A597,"and ",""))=0,LEN('Special Help Table'!$A597)-LEN(SUBSTITUTE('Special Help Table'!$A597,";",""))=0),'Special Help Table'!$A597,AND(LEN('Special Help Table'!$A597)-LEN(SUBSTITUTE('Special Help Table'!$A597,",","")=1),LEN('Special Help Table'!$A597)-LEN(SUBSTITUTE('Special Help Table'!$A597," ","")=20),LEN('Special Help Table'!$A597)-LEN(SUBSTITUTE('Special Help Table'!$A597," and",""))=0,LEN('Special Help Table'!$A597)-LEN(SUBSTITUTE('Special Help Table'!$A597,",","",FIND(" ",'Special Help Table'!$A597)+1))=0),RIGHT('Special Help Table'!$A597,LEN('Special Help Table'!$A597)-FIND(", ",'Special Help Table'!$A597))&amp;" "&amp;LEFT('Special Help Table'!$A597,FIND(",",'Special Help Table'!$A597)-1),AND(LEN('Special Help Table'!$A597)-LEN(SUBSTITUTE('Special Help Table'!$A597,"editor",""))=6,LEN('Special Help Table'!$A597)-LEN(SUBSTITUTE('Special Help Table'!$A597,"(",""))=0,LEN('Special Help Table'!$A597)-LEN(SUBSTITUTE('Special Help Table'!$A597,"and",""))=3,LEN('Special Help Table'!$A597)-LEN(SUBSTITUTE('Special Help Table'!$A597,",",""))=1,LEN('Special Help Table'!$A597)-LEN(SUBSTITUTE('Special Help Table'!$A597," ",""))=3),'Special Help Table'!$A597)</f>
        <v xml:space="preserve"> David Powlison</v>
      </c>
      <c r="C597" s="4" t="s">
        <v>1125</v>
      </c>
      <c r="D597" s="2"/>
      <c r="E597" s="2" t="s">
        <v>16</v>
      </c>
      <c r="F597" s="2" t="s">
        <v>36</v>
      </c>
      <c r="G597" s="2"/>
      <c r="H597" s="2"/>
      <c r="I597" s="2"/>
      <c r="J597" s="2"/>
      <c r="K597" s="3">
        <v>42884</v>
      </c>
      <c r="L597" s="2"/>
      <c r="M597" s="2"/>
      <c r="N597" s="2" t="s">
        <v>18</v>
      </c>
    </row>
    <row r="598" spans="1:14" ht="15.75" customHeight="1" x14ac:dyDescent="0.35">
      <c r="A598" s="2" t="s">
        <v>1120</v>
      </c>
      <c r="B598" s="2" t="str" cm="1">
        <f t="array" ref="B598">_xlfn.IFS(AND(LEN('Special Help Table'!$A598)-(LEN(SUBSTITUTE('Special Help Table'!$A598,";","")))=0,LEN('Special Help Table'!$A598)-LEN(SUBSTITUTE('Special Help Table'!$A598,",",""))=1,LEN('Special Help Table'!$A598)-LEN(SUBSTITUTE('Special Help Table'!$A598,"and ",""))=0),MID('Special Help Table'!$A598&amp;" "&amp;'Special Help Table'!$A598,SEARCH(", ",'Special Help Table'!$A598)+1,LEN('Special Help Table'!$A598)),AND(LEN('Special Help Table'!$A598)-(LEN(SUBSTITUTE('Special Help Table'!$A598,";","")))=1,LEN('Special Help Table'!$A598)-LEN(SUBSTITUTE('Special Help Table'!$A598,"and ",""))=0),MID('Special Help Table'!$A598,SEARCH(",",'Special Help Table'!$A598)+1,(SEARCH(";",'Special Help Table'!$A598)-1)-SEARCH(",",'Special Help Table'!$A598))&amp;" "&amp;LEFT('Special Help Table'!$A598,SEARCH(",",'Special Help Table'!$A598)-1)&amp;";"&amp;RIGHT('Special Help Table'!$A598,LEN('Special Help Table'!$A598)-SEARCH(",",'Special Help Table'!$A598,SEARCH(";",'Special Help Table'!$A598)))&amp;" "&amp;MID('Special Help Table'!$A598,SEARCH("; ",'Special Help Table'!$A598)+2,SEARCH(",",'Special Help Table'!$A598,SEARCH(";",'Special Help Table'!$A598))-SEARCH(";",'Special Help Table'!$A598)-2),AND(LEN('Special Help Table'!$A598)-LEN(SUBSTITUTE('Special Help Table'!$A598,"and ",""))=0,LEN('Special Help Table'!$A598)-LEN(SUBSTITUTE('Special Help Table'!$A598,";",""))=0),'Special Help Table'!$A598,AND(LEN('Special Help Table'!$A598)-LEN(SUBSTITUTE('Special Help Table'!$A598,",","")=1),LEN('Special Help Table'!$A598)-LEN(SUBSTITUTE('Special Help Table'!$A598," ","")=20),LEN('Special Help Table'!$A598)-LEN(SUBSTITUTE('Special Help Table'!$A598," and",""))=0,LEN('Special Help Table'!$A598)-LEN(SUBSTITUTE('Special Help Table'!$A598,",","",FIND(" ",'Special Help Table'!$A598)+1))=0),RIGHT('Special Help Table'!$A598,LEN('Special Help Table'!$A598)-FIND(", ",'Special Help Table'!$A598))&amp;" "&amp;LEFT('Special Help Table'!$A598,FIND(",",'Special Help Table'!$A598)-1),AND(LEN('Special Help Table'!$A598)-LEN(SUBSTITUTE('Special Help Table'!$A598,"editor",""))=6,LEN('Special Help Table'!$A598)-LEN(SUBSTITUTE('Special Help Table'!$A598,"(",""))=0,LEN('Special Help Table'!$A598)-LEN(SUBSTITUTE('Special Help Table'!$A598,"and",""))=3,LEN('Special Help Table'!$A598)-LEN(SUBSTITUTE('Special Help Table'!$A598,",",""))=1,LEN('Special Help Table'!$A598)-LEN(SUBSTITUTE('Special Help Table'!$A598," ",""))=3),'Special Help Table'!$A598)</f>
        <v xml:space="preserve"> David Powlison</v>
      </c>
      <c r="C598" s="4" t="s">
        <v>1126</v>
      </c>
      <c r="D598" s="2"/>
      <c r="E598" s="2" t="s">
        <v>16</v>
      </c>
      <c r="F598" s="2" t="s">
        <v>72</v>
      </c>
      <c r="G598" s="2"/>
      <c r="H598" s="2"/>
      <c r="I598" s="2"/>
      <c r="J598" s="2"/>
      <c r="K598" s="3"/>
      <c r="L598" s="2"/>
      <c r="M598" s="2"/>
      <c r="N598" s="2" t="s">
        <v>18</v>
      </c>
    </row>
    <row r="599" spans="1:14" ht="15.75" customHeight="1" x14ac:dyDescent="0.35">
      <c r="A599" s="2" t="s">
        <v>1120</v>
      </c>
      <c r="B599" s="2" t="str" cm="1">
        <f t="array" ref="B599">_xlfn.IFS(AND(LEN('Special Help Table'!$A599)-(LEN(SUBSTITUTE('Special Help Table'!$A599,";","")))=0,LEN('Special Help Table'!$A599)-LEN(SUBSTITUTE('Special Help Table'!$A599,",",""))=1,LEN('Special Help Table'!$A599)-LEN(SUBSTITUTE('Special Help Table'!$A599,"and ",""))=0),MID('Special Help Table'!$A599&amp;" "&amp;'Special Help Table'!$A599,SEARCH(", ",'Special Help Table'!$A599)+1,LEN('Special Help Table'!$A599)),AND(LEN('Special Help Table'!$A599)-(LEN(SUBSTITUTE('Special Help Table'!$A599,";","")))=1,LEN('Special Help Table'!$A599)-LEN(SUBSTITUTE('Special Help Table'!$A599,"and ",""))=0),MID('Special Help Table'!$A599,SEARCH(",",'Special Help Table'!$A599)+1,(SEARCH(";",'Special Help Table'!$A599)-1)-SEARCH(",",'Special Help Table'!$A599))&amp;" "&amp;LEFT('Special Help Table'!$A599,SEARCH(",",'Special Help Table'!$A599)-1)&amp;";"&amp;RIGHT('Special Help Table'!$A599,LEN('Special Help Table'!$A599)-SEARCH(",",'Special Help Table'!$A599,SEARCH(";",'Special Help Table'!$A599)))&amp;" "&amp;MID('Special Help Table'!$A599,SEARCH("; ",'Special Help Table'!$A599)+2,SEARCH(",",'Special Help Table'!$A599,SEARCH(";",'Special Help Table'!$A599))-SEARCH(";",'Special Help Table'!$A599)-2),AND(LEN('Special Help Table'!$A599)-LEN(SUBSTITUTE('Special Help Table'!$A599,"and ",""))=0,LEN('Special Help Table'!$A599)-LEN(SUBSTITUTE('Special Help Table'!$A599,";",""))=0),'Special Help Table'!$A599,AND(LEN('Special Help Table'!$A599)-LEN(SUBSTITUTE('Special Help Table'!$A599,",","")=1),LEN('Special Help Table'!$A599)-LEN(SUBSTITUTE('Special Help Table'!$A599," ","")=20),LEN('Special Help Table'!$A599)-LEN(SUBSTITUTE('Special Help Table'!$A599," and",""))=0,LEN('Special Help Table'!$A599)-LEN(SUBSTITUTE('Special Help Table'!$A599,",","",FIND(" ",'Special Help Table'!$A599)+1))=0),RIGHT('Special Help Table'!$A599,LEN('Special Help Table'!$A599)-FIND(", ",'Special Help Table'!$A599))&amp;" "&amp;LEFT('Special Help Table'!$A599,FIND(",",'Special Help Table'!$A599)-1),AND(LEN('Special Help Table'!$A599)-LEN(SUBSTITUTE('Special Help Table'!$A599,"editor",""))=6,LEN('Special Help Table'!$A599)-LEN(SUBSTITUTE('Special Help Table'!$A599,"(",""))=0,LEN('Special Help Table'!$A599)-LEN(SUBSTITUTE('Special Help Table'!$A599,"and",""))=3,LEN('Special Help Table'!$A599)-LEN(SUBSTITUTE('Special Help Table'!$A599,",",""))=1,LEN('Special Help Table'!$A599)-LEN(SUBSTITUTE('Special Help Table'!$A599," ",""))=3),'Special Help Table'!$A599)</f>
        <v xml:space="preserve"> David Powlison</v>
      </c>
      <c r="C599" s="4" t="s">
        <v>1127</v>
      </c>
      <c r="D599" s="2"/>
      <c r="E599" s="2" t="s">
        <v>16</v>
      </c>
      <c r="F599" s="2" t="s">
        <v>17</v>
      </c>
      <c r="G599" s="2"/>
      <c r="H599" s="2"/>
      <c r="I599" s="2"/>
      <c r="J599" s="2" t="s">
        <v>619</v>
      </c>
      <c r="K599" s="3">
        <v>43160</v>
      </c>
      <c r="L599" s="2"/>
      <c r="M599" s="2"/>
      <c r="N599" s="2" t="s">
        <v>18</v>
      </c>
    </row>
    <row r="600" spans="1:14" ht="15.75" customHeight="1" x14ac:dyDescent="0.35">
      <c r="A600" s="2" t="s">
        <v>1120</v>
      </c>
      <c r="B600" s="2" t="str" cm="1">
        <f t="array" ref="B600">_xlfn.IFS(AND(LEN('Special Help Table'!$A600)-(LEN(SUBSTITUTE('Special Help Table'!$A600,";","")))=0,LEN('Special Help Table'!$A600)-LEN(SUBSTITUTE('Special Help Table'!$A600,",",""))=1,LEN('Special Help Table'!$A600)-LEN(SUBSTITUTE('Special Help Table'!$A600,"and ",""))=0),MID('Special Help Table'!$A600&amp;" "&amp;'Special Help Table'!$A600,SEARCH(", ",'Special Help Table'!$A600)+1,LEN('Special Help Table'!$A600)),AND(LEN('Special Help Table'!$A600)-(LEN(SUBSTITUTE('Special Help Table'!$A600,";","")))=1,LEN('Special Help Table'!$A600)-LEN(SUBSTITUTE('Special Help Table'!$A600,"and ",""))=0),MID('Special Help Table'!$A600,SEARCH(",",'Special Help Table'!$A600)+1,(SEARCH(";",'Special Help Table'!$A600)-1)-SEARCH(",",'Special Help Table'!$A600))&amp;" "&amp;LEFT('Special Help Table'!$A600,SEARCH(",",'Special Help Table'!$A600)-1)&amp;";"&amp;RIGHT('Special Help Table'!$A600,LEN('Special Help Table'!$A600)-SEARCH(",",'Special Help Table'!$A600,SEARCH(";",'Special Help Table'!$A600)))&amp;" "&amp;MID('Special Help Table'!$A600,SEARCH("; ",'Special Help Table'!$A600)+2,SEARCH(",",'Special Help Table'!$A600,SEARCH(";",'Special Help Table'!$A600))-SEARCH(";",'Special Help Table'!$A600)-2),AND(LEN('Special Help Table'!$A600)-LEN(SUBSTITUTE('Special Help Table'!$A600,"and ",""))=0,LEN('Special Help Table'!$A600)-LEN(SUBSTITUTE('Special Help Table'!$A600,";",""))=0),'Special Help Table'!$A600,AND(LEN('Special Help Table'!$A600)-LEN(SUBSTITUTE('Special Help Table'!$A600,",","")=1),LEN('Special Help Table'!$A600)-LEN(SUBSTITUTE('Special Help Table'!$A600," ","")=20),LEN('Special Help Table'!$A600)-LEN(SUBSTITUTE('Special Help Table'!$A600," and",""))=0,LEN('Special Help Table'!$A600)-LEN(SUBSTITUTE('Special Help Table'!$A600,",","",FIND(" ",'Special Help Table'!$A600)+1))=0),RIGHT('Special Help Table'!$A600,LEN('Special Help Table'!$A600)-FIND(", ",'Special Help Table'!$A600))&amp;" "&amp;LEFT('Special Help Table'!$A600,FIND(",",'Special Help Table'!$A600)-1),AND(LEN('Special Help Table'!$A600)-LEN(SUBSTITUTE('Special Help Table'!$A600,"editor",""))=6,LEN('Special Help Table'!$A600)-LEN(SUBSTITUTE('Special Help Table'!$A600,"(",""))=0,LEN('Special Help Table'!$A600)-LEN(SUBSTITUTE('Special Help Table'!$A600,"and",""))=3,LEN('Special Help Table'!$A600)-LEN(SUBSTITUTE('Special Help Table'!$A600,",",""))=1,LEN('Special Help Table'!$A600)-LEN(SUBSTITUTE('Special Help Table'!$A600," ",""))=3),'Special Help Table'!$A600)</f>
        <v xml:space="preserve"> David Powlison</v>
      </c>
      <c r="C600" s="4" t="s">
        <v>1128</v>
      </c>
      <c r="D600" s="2" t="s">
        <v>1129</v>
      </c>
      <c r="E600" s="2" t="s">
        <v>16</v>
      </c>
      <c r="F600" s="2" t="s">
        <v>17</v>
      </c>
      <c r="G600" s="2"/>
      <c r="H600" s="2"/>
      <c r="I600" s="2"/>
      <c r="J600" s="2" t="s">
        <v>22</v>
      </c>
      <c r="K600" s="3">
        <v>41775</v>
      </c>
      <c r="L600" s="2"/>
      <c r="M600" s="2"/>
      <c r="N600" s="2" t="s">
        <v>18</v>
      </c>
    </row>
    <row r="601" spans="1:14" ht="15.75" customHeight="1" x14ac:dyDescent="0.35">
      <c r="A601" s="2" t="s">
        <v>1120</v>
      </c>
      <c r="B601" s="2" t="str" cm="1">
        <f t="array" ref="B601">_xlfn.IFS(AND(LEN('Special Help Table'!$A601)-(LEN(SUBSTITUTE('Special Help Table'!$A601,";","")))=0,LEN('Special Help Table'!$A601)-LEN(SUBSTITUTE('Special Help Table'!$A601,",",""))=1,LEN('Special Help Table'!$A601)-LEN(SUBSTITUTE('Special Help Table'!$A601,"and ",""))=0),MID('Special Help Table'!$A601&amp;" "&amp;'Special Help Table'!$A601,SEARCH(", ",'Special Help Table'!$A601)+1,LEN('Special Help Table'!$A601)),AND(LEN('Special Help Table'!$A601)-(LEN(SUBSTITUTE('Special Help Table'!$A601,";","")))=1,LEN('Special Help Table'!$A601)-LEN(SUBSTITUTE('Special Help Table'!$A601,"and ",""))=0),MID('Special Help Table'!$A601,SEARCH(",",'Special Help Table'!$A601)+1,(SEARCH(";",'Special Help Table'!$A601)-1)-SEARCH(",",'Special Help Table'!$A601))&amp;" "&amp;LEFT('Special Help Table'!$A601,SEARCH(",",'Special Help Table'!$A601)-1)&amp;";"&amp;RIGHT('Special Help Table'!$A601,LEN('Special Help Table'!$A601)-SEARCH(",",'Special Help Table'!$A601,SEARCH(";",'Special Help Table'!$A601)))&amp;" "&amp;MID('Special Help Table'!$A601,SEARCH("; ",'Special Help Table'!$A601)+2,SEARCH(",",'Special Help Table'!$A601,SEARCH(";",'Special Help Table'!$A601))-SEARCH(";",'Special Help Table'!$A601)-2),AND(LEN('Special Help Table'!$A601)-LEN(SUBSTITUTE('Special Help Table'!$A601,"and ",""))=0,LEN('Special Help Table'!$A601)-LEN(SUBSTITUTE('Special Help Table'!$A601,";",""))=0),'Special Help Table'!$A601,AND(LEN('Special Help Table'!$A601)-LEN(SUBSTITUTE('Special Help Table'!$A601,",","")=1),LEN('Special Help Table'!$A601)-LEN(SUBSTITUTE('Special Help Table'!$A601," ","")=20),LEN('Special Help Table'!$A601)-LEN(SUBSTITUTE('Special Help Table'!$A601," and",""))=0,LEN('Special Help Table'!$A601)-LEN(SUBSTITUTE('Special Help Table'!$A601,",","",FIND(" ",'Special Help Table'!$A601)+1))=0),RIGHT('Special Help Table'!$A601,LEN('Special Help Table'!$A601)-FIND(", ",'Special Help Table'!$A601))&amp;" "&amp;LEFT('Special Help Table'!$A601,FIND(",",'Special Help Table'!$A601)-1),AND(LEN('Special Help Table'!$A601)-LEN(SUBSTITUTE('Special Help Table'!$A601,"editor",""))=6,LEN('Special Help Table'!$A601)-LEN(SUBSTITUTE('Special Help Table'!$A601,"(",""))=0,LEN('Special Help Table'!$A601)-LEN(SUBSTITUTE('Special Help Table'!$A601,"and",""))=3,LEN('Special Help Table'!$A601)-LEN(SUBSTITUTE('Special Help Table'!$A601,",",""))=1,LEN('Special Help Table'!$A601)-LEN(SUBSTITUTE('Special Help Table'!$A601," ",""))=3),'Special Help Table'!$A601)</f>
        <v xml:space="preserve"> David Powlison</v>
      </c>
      <c r="C601" s="4" t="s">
        <v>1130</v>
      </c>
      <c r="D601" s="2" t="s">
        <v>1129</v>
      </c>
      <c r="E601" s="2" t="s">
        <v>16</v>
      </c>
      <c r="F601" s="2" t="s">
        <v>17</v>
      </c>
      <c r="G601" s="2"/>
      <c r="H601" s="2"/>
      <c r="I601" s="2"/>
      <c r="J601" s="2" t="s">
        <v>188</v>
      </c>
      <c r="K601" s="3">
        <v>41777</v>
      </c>
      <c r="L601" s="2"/>
      <c r="M601" s="2"/>
      <c r="N601" s="2" t="s">
        <v>18</v>
      </c>
    </row>
    <row r="602" spans="1:14" ht="15.75" customHeight="1" x14ac:dyDescent="0.35">
      <c r="A602" s="2" t="s">
        <v>1120</v>
      </c>
      <c r="B602" s="2" t="str" cm="1">
        <f t="array" ref="B602">_xlfn.IFS(AND(LEN('Special Help Table'!$A602)-(LEN(SUBSTITUTE('Special Help Table'!$A602,";","")))=0,LEN('Special Help Table'!$A602)-LEN(SUBSTITUTE('Special Help Table'!$A602,",",""))=1,LEN('Special Help Table'!$A602)-LEN(SUBSTITUTE('Special Help Table'!$A602,"and ",""))=0),MID('Special Help Table'!$A602&amp;" "&amp;'Special Help Table'!$A602,SEARCH(", ",'Special Help Table'!$A602)+1,LEN('Special Help Table'!$A602)),AND(LEN('Special Help Table'!$A602)-(LEN(SUBSTITUTE('Special Help Table'!$A602,";","")))=1,LEN('Special Help Table'!$A602)-LEN(SUBSTITUTE('Special Help Table'!$A602,"and ",""))=0),MID('Special Help Table'!$A602,SEARCH(",",'Special Help Table'!$A602)+1,(SEARCH(";",'Special Help Table'!$A602)-1)-SEARCH(",",'Special Help Table'!$A602))&amp;" "&amp;LEFT('Special Help Table'!$A602,SEARCH(",",'Special Help Table'!$A602)-1)&amp;";"&amp;RIGHT('Special Help Table'!$A602,LEN('Special Help Table'!$A602)-SEARCH(",",'Special Help Table'!$A602,SEARCH(";",'Special Help Table'!$A602)))&amp;" "&amp;MID('Special Help Table'!$A602,SEARCH("; ",'Special Help Table'!$A602)+2,SEARCH(",",'Special Help Table'!$A602,SEARCH(";",'Special Help Table'!$A602))-SEARCH(";",'Special Help Table'!$A602)-2),AND(LEN('Special Help Table'!$A602)-LEN(SUBSTITUTE('Special Help Table'!$A602,"and ",""))=0,LEN('Special Help Table'!$A602)-LEN(SUBSTITUTE('Special Help Table'!$A602,";",""))=0),'Special Help Table'!$A602,AND(LEN('Special Help Table'!$A602)-LEN(SUBSTITUTE('Special Help Table'!$A602,",","")=1),LEN('Special Help Table'!$A602)-LEN(SUBSTITUTE('Special Help Table'!$A602," ","")=20),LEN('Special Help Table'!$A602)-LEN(SUBSTITUTE('Special Help Table'!$A602," and",""))=0,LEN('Special Help Table'!$A602)-LEN(SUBSTITUTE('Special Help Table'!$A602,",","",FIND(" ",'Special Help Table'!$A602)+1))=0),RIGHT('Special Help Table'!$A602,LEN('Special Help Table'!$A602)-FIND(", ",'Special Help Table'!$A602))&amp;" "&amp;LEFT('Special Help Table'!$A602,FIND(",",'Special Help Table'!$A602)-1),AND(LEN('Special Help Table'!$A602)-LEN(SUBSTITUTE('Special Help Table'!$A602,"editor",""))=6,LEN('Special Help Table'!$A602)-LEN(SUBSTITUTE('Special Help Table'!$A602,"(",""))=0,LEN('Special Help Table'!$A602)-LEN(SUBSTITUTE('Special Help Table'!$A602,"and",""))=3,LEN('Special Help Table'!$A602)-LEN(SUBSTITUTE('Special Help Table'!$A602,",",""))=1,LEN('Special Help Table'!$A602)-LEN(SUBSTITUTE('Special Help Table'!$A602," ",""))=3),'Special Help Table'!$A602)</f>
        <v xml:space="preserve"> David Powlison</v>
      </c>
      <c r="C602" s="4" t="s">
        <v>1131</v>
      </c>
      <c r="D602" s="2"/>
      <c r="E602" s="2" t="s">
        <v>16</v>
      </c>
      <c r="F602" s="2" t="s">
        <v>17</v>
      </c>
      <c r="G602" s="2"/>
      <c r="H602" s="2"/>
      <c r="I602" s="2"/>
      <c r="J602" s="2" t="s">
        <v>22</v>
      </c>
      <c r="K602" s="3">
        <v>40049</v>
      </c>
      <c r="L602" s="2"/>
      <c r="M602" s="2"/>
      <c r="N602" s="2" t="s">
        <v>18</v>
      </c>
    </row>
    <row r="603" spans="1:14" ht="15.75" customHeight="1" x14ac:dyDescent="0.35">
      <c r="A603" s="2" t="s">
        <v>1120</v>
      </c>
      <c r="B603" s="2" t="str" cm="1">
        <f t="array" ref="B603">_xlfn.IFS(AND(LEN('Special Help Table'!$A603)-(LEN(SUBSTITUTE('Special Help Table'!$A603,";","")))=0,LEN('Special Help Table'!$A603)-LEN(SUBSTITUTE('Special Help Table'!$A603,",",""))=1,LEN('Special Help Table'!$A603)-LEN(SUBSTITUTE('Special Help Table'!$A603,"and ",""))=0),MID('Special Help Table'!$A603&amp;" "&amp;'Special Help Table'!$A603,SEARCH(", ",'Special Help Table'!$A603)+1,LEN('Special Help Table'!$A603)),AND(LEN('Special Help Table'!$A603)-(LEN(SUBSTITUTE('Special Help Table'!$A603,";","")))=1,LEN('Special Help Table'!$A603)-LEN(SUBSTITUTE('Special Help Table'!$A603,"and ",""))=0),MID('Special Help Table'!$A603,SEARCH(",",'Special Help Table'!$A603)+1,(SEARCH(";",'Special Help Table'!$A603)-1)-SEARCH(",",'Special Help Table'!$A603))&amp;" "&amp;LEFT('Special Help Table'!$A603,SEARCH(",",'Special Help Table'!$A603)-1)&amp;";"&amp;RIGHT('Special Help Table'!$A603,LEN('Special Help Table'!$A603)-SEARCH(",",'Special Help Table'!$A603,SEARCH(";",'Special Help Table'!$A603)))&amp;" "&amp;MID('Special Help Table'!$A603,SEARCH("; ",'Special Help Table'!$A603)+2,SEARCH(",",'Special Help Table'!$A603,SEARCH(";",'Special Help Table'!$A603))-SEARCH(";",'Special Help Table'!$A603)-2),AND(LEN('Special Help Table'!$A603)-LEN(SUBSTITUTE('Special Help Table'!$A603,"and ",""))=0,LEN('Special Help Table'!$A603)-LEN(SUBSTITUTE('Special Help Table'!$A603,";",""))=0),'Special Help Table'!$A603,AND(LEN('Special Help Table'!$A603)-LEN(SUBSTITUTE('Special Help Table'!$A603,",","")=1),LEN('Special Help Table'!$A603)-LEN(SUBSTITUTE('Special Help Table'!$A603," ","")=20),LEN('Special Help Table'!$A603)-LEN(SUBSTITUTE('Special Help Table'!$A603," and",""))=0,LEN('Special Help Table'!$A603)-LEN(SUBSTITUTE('Special Help Table'!$A603,",","",FIND(" ",'Special Help Table'!$A603)+1))=0),RIGHT('Special Help Table'!$A603,LEN('Special Help Table'!$A603)-FIND(", ",'Special Help Table'!$A603))&amp;" "&amp;LEFT('Special Help Table'!$A603,FIND(",",'Special Help Table'!$A603)-1),AND(LEN('Special Help Table'!$A603)-LEN(SUBSTITUTE('Special Help Table'!$A603,"editor",""))=6,LEN('Special Help Table'!$A603)-LEN(SUBSTITUTE('Special Help Table'!$A603,"(",""))=0,LEN('Special Help Table'!$A603)-LEN(SUBSTITUTE('Special Help Table'!$A603,"and",""))=3,LEN('Special Help Table'!$A603)-LEN(SUBSTITUTE('Special Help Table'!$A603,",",""))=1,LEN('Special Help Table'!$A603)-LEN(SUBSTITUTE('Special Help Table'!$A603," ",""))=3),'Special Help Table'!$A603)</f>
        <v xml:space="preserve"> David Powlison</v>
      </c>
      <c r="C603" s="4" t="s">
        <v>1132</v>
      </c>
      <c r="D603" s="2"/>
      <c r="E603" s="2" t="s">
        <v>16</v>
      </c>
      <c r="F603" s="2" t="s">
        <v>17</v>
      </c>
      <c r="G603" s="2"/>
      <c r="H603" s="2"/>
      <c r="I603" s="2"/>
      <c r="J603" s="2" t="s">
        <v>790</v>
      </c>
      <c r="K603" s="3">
        <v>39209</v>
      </c>
      <c r="L603" s="2"/>
      <c r="M603" s="2"/>
      <c r="N603" s="2" t="s">
        <v>18</v>
      </c>
    </row>
    <row r="604" spans="1:14" ht="15.75" customHeight="1" x14ac:dyDescent="0.35">
      <c r="A604" s="2" t="s">
        <v>1120</v>
      </c>
      <c r="B604" s="2" t="str" cm="1">
        <f t="array" ref="B604">_xlfn.IFS(AND(LEN('Special Help Table'!$A604)-(LEN(SUBSTITUTE('Special Help Table'!$A604,";","")))=0,LEN('Special Help Table'!$A604)-LEN(SUBSTITUTE('Special Help Table'!$A604,",",""))=1,LEN('Special Help Table'!$A604)-LEN(SUBSTITUTE('Special Help Table'!$A604,"and ",""))=0),MID('Special Help Table'!$A604&amp;" "&amp;'Special Help Table'!$A604,SEARCH(", ",'Special Help Table'!$A604)+1,LEN('Special Help Table'!$A604)),AND(LEN('Special Help Table'!$A604)-(LEN(SUBSTITUTE('Special Help Table'!$A604,";","")))=1,LEN('Special Help Table'!$A604)-LEN(SUBSTITUTE('Special Help Table'!$A604,"and ",""))=0),MID('Special Help Table'!$A604,SEARCH(",",'Special Help Table'!$A604)+1,(SEARCH(";",'Special Help Table'!$A604)-1)-SEARCH(",",'Special Help Table'!$A604))&amp;" "&amp;LEFT('Special Help Table'!$A604,SEARCH(",",'Special Help Table'!$A604)-1)&amp;";"&amp;RIGHT('Special Help Table'!$A604,LEN('Special Help Table'!$A604)-SEARCH(",",'Special Help Table'!$A604,SEARCH(";",'Special Help Table'!$A604)))&amp;" "&amp;MID('Special Help Table'!$A604,SEARCH("; ",'Special Help Table'!$A604)+2,SEARCH(",",'Special Help Table'!$A604,SEARCH(";",'Special Help Table'!$A604))-SEARCH(";",'Special Help Table'!$A604)-2),AND(LEN('Special Help Table'!$A604)-LEN(SUBSTITUTE('Special Help Table'!$A604,"and ",""))=0,LEN('Special Help Table'!$A604)-LEN(SUBSTITUTE('Special Help Table'!$A604,";",""))=0),'Special Help Table'!$A604,AND(LEN('Special Help Table'!$A604)-LEN(SUBSTITUTE('Special Help Table'!$A604,",","")=1),LEN('Special Help Table'!$A604)-LEN(SUBSTITUTE('Special Help Table'!$A604," ","")=20),LEN('Special Help Table'!$A604)-LEN(SUBSTITUTE('Special Help Table'!$A604," and",""))=0,LEN('Special Help Table'!$A604)-LEN(SUBSTITUTE('Special Help Table'!$A604,",","",FIND(" ",'Special Help Table'!$A604)+1))=0),RIGHT('Special Help Table'!$A604,LEN('Special Help Table'!$A604)-FIND(", ",'Special Help Table'!$A604))&amp;" "&amp;LEFT('Special Help Table'!$A604,FIND(",",'Special Help Table'!$A604)-1),AND(LEN('Special Help Table'!$A604)-LEN(SUBSTITUTE('Special Help Table'!$A604,"editor",""))=6,LEN('Special Help Table'!$A604)-LEN(SUBSTITUTE('Special Help Table'!$A604,"(",""))=0,LEN('Special Help Table'!$A604)-LEN(SUBSTITUTE('Special Help Table'!$A604,"and",""))=3,LEN('Special Help Table'!$A604)-LEN(SUBSTITUTE('Special Help Table'!$A604,",",""))=1,LEN('Special Help Table'!$A604)-LEN(SUBSTITUTE('Special Help Table'!$A604," ",""))=3),'Special Help Table'!$A604)</f>
        <v xml:space="preserve"> David Powlison</v>
      </c>
      <c r="C604" s="4" t="s">
        <v>1133</v>
      </c>
      <c r="D604" s="2"/>
      <c r="E604" s="2" t="s">
        <v>16</v>
      </c>
      <c r="F604" s="2" t="s">
        <v>72</v>
      </c>
      <c r="G604" s="2"/>
      <c r="H604" s="2"/>
      <c r="I604" s="2"/>
      <c r="J604" s="2"/>
      <c r="K604" s="3"/>
      <c r="L604" s="2"/>
      <c r="M604" s="2"/>
      <c r="N604" s="2" t="s">
        <v>18</v>
      </c>
    </row>
    <row r="605" spans="1:14" ht="15.75" customHeight="1" x14ac:dyDescent="0.35">
      <c r="A605" s="2" t="s">
        <v>1134</v>
      </c>
      <c r="B605" s="2" t="e" cm="1">
        <f t="array" ref="B605">_xlfn.IFS(AND(LEN('Special Help Table'!$A605)-(LEN(SUBSTITUTE('Special Help Table'!$A605,";","")))=0,LEN('Special Help Table'!$A605)-LEN(SUBSTITUTE('Special Help Table'!$A605,",",""))=1,LEN('Special Help Table'!$A605)-LEN(SUBSTITUTE('Special Help Table'!$A605,"and ",""))=0),MID('Special Help Table'!$A605&amp;" "&amp;'Special Help Table'!$A605,SEARCH(", ",'Special Help Table'!$A605)+1,LEN('Special Help Table'!$A605)),AND(LEN('Special Help Table'!$A605)-(LEN(SUBSTITUTE('Special Help Table'!$A605,";","")))=1,LEN('Special Help Table'!$A605)-LEN(SUBSTITUTE('Special Help Table'!$A605,"and ",""))=0),MID('Special Help Table'!$A605,SEARCH(",",'Special Help Table'!$A605)+1,(SEARCH(";",'Special Help Table'!$A605)-1)-SEARCH(",",'Special Help Table'!$A605))&amp;" "&amp;LEFT('Special Help Table'!$A605,SEARCH(",",'Special Help Table'!$A605)-1)&amp;";"&amp;RIGHT('Special Help Table'!$A605,LEN('Special Help Table'!$A605)-SEARCH(",",'Special Help Table'!$A605,SEARCH(";",'Special Help Table'!$A605)))&amp;" "&amp;MID('Special Help Table'!$A605,SEARCH("; ",'Special Help Table'!$A605)+2,SEARCH(",",'Special Help Table'!$A605,SEARCH(";",'Special Help Table'!$A605))-SEARCH(";",'Special Help Table'!$A605)-2),AND(LEN('Special Help Table'!$A605)-LEN(SUBSTITUTE('Special Help Table'!$A605,"and ",""))=0,LEN('Special Help Table'!$A605)-LEN(SUBSTITUTE('Special Help Table'!$A605,";",""))=0),'Special Help Table'!$A605,AND(LEN('Special Help Table'!$A605)-LEN(SUBSTITUTE('Special Help Table'!$A605,",","")=1),LEN('Special Help Table'!$A605)-LEN(SUBSTITUTE('Special Help Table'!$A605," ","")=20),LEN('Special Help Table'!$A605)-LEN(SUBSTITUTE('Special Help Table'!$A605," and",""))=0,LEN('Special Help Table'!$A605)-LEN(SUBSTITUTE('Special Help Table'!$A605,",","",FIND(" ",'Special Help Table'!$A605)+1))=0),RIGHT('Special Help Table'!$A605,LEN('Special Help Table'!$A605)-FIND(", ",'Special Help Table'!$A605))&amp;" "&amp;LEFT('Special Help Table'!$A605,FIND(",",'Special Help Table'!$A605)-1),AND(LEN('Special Help Table'!$A605)-LEN(SUBSTITUTE('Special Help Table'!$A605,"editor",""))=6,LEN('Special Help Table'!$A605)-LEN(SUBSTITUTE('Special Help Table'!$A605,"(",""))=0,LEN('Special Help Table'!$A605)-LEN(SUBSTITUTE('Special Help Table'!$A605,"and",""))=3,LEN('Special Help Table'!$A605)-LEN(SUBSTITUTE('Special Help Table'!$A605,",",""))=1,LEN('Special Help Table'!$A605)-LEN(SUBSTITUTE('Special Help Table'!$A605," ",""))=3),'Special Help Table'!$A605)</f>
        <v>#N/A</v>
      </c>
      <c r="C605" s="4" t="s">
        <v>1135</v>
      </c>
      <c r="D605" s="2" t="s">
        <v>302</v>
      </c>
      <c r="E605" s="2" t="s">
        <v>16</v>
      </c>
      <c r="F605" s="2" t="s">
        <v>72</v>
      </c>
      <c r="G605" s="2"/>
      <c r="H605" s="2"/>
      <c r="I605" s="2"/>
      <c r="J605" s="2" t="s">
        <v>1136</v>
      </c>
      <c r="K605" s="3">
        <v>43832</v>
      </c>
      <c r="L605" s="2"/>
      <c r="M605" s="2"/>
      <c r="N605" s="2" t="s">
        <v>18</v>
      </c>
    </row>
    <row r="606" spans="1:14" ht="15.75" customHeight="1" x14ac:dyDescent="0.35">
      <c r="A606" s="2" t="s">
        <v>1137</v>
      </c>
      <c r="B606" s="2" t="str" cm="1">
        <f t="array" ref="B606">_xlfn.IFS(AND(LEN('Special Help Table'!$A606)-(LEN(SUBSTITUTE('Special Help Table'!$A606,";","")))=0,LEN('Special Help Table'!$A606)-LEN(SUBSTITUTE('Special Help Table'!$A606,",",""))=1,LEN('Special Help Table'!$A606)-LEN(SUBSTITUTE('Special Help Table'!$A606,"and ",""))=0),MID('Special Help Table'!$A606&amp;" "&amp;'Special Help Table'!$A606,SEARCH(", ",'Special Help Table'!$A606)+1,LEN('Special Help Table'!$A606)),AND(LEN('Special Help Table'!$A606)-(LEN(SUBSTITUTE('Special Help Table'!$A606,";","")))=1,LEN('Special Help Table'!$A606)-LEN(SUBSTITUTE('Special Help Table'!$A606,"and ",""))=0),MID('Special Help Table'!$A606,SEARCH(",",'Special Help Table'!$A606)+1,(SEARCH(";",'Special Help Table'!$A606)-1)-SEARCH(",",'Special Help Table'!$A606))&amp;" "&amp;LEFT('Special Help Table'!$A606,SEARCH(",",'Special Help Table'!$A606)-1)&amp;";"&amp;RIGHT('Special Help Table'!$A606,LEN('Special Help Table'!$A606)-SEARCH(",",'Special Help Table'!$A606,SEARCH(";",'Special Help Table'!$A606)))&amp;" "&amp;MID('Special Help Table'!$A606,SEARCH("; ",'Special Help Table'!$A606)+2,SEARCH(",",'Special Help Table'!$A606,SEARCH(";",'Special Help Table'!$A606))-SEARCH(";",'Special Help Table'!$A606)-2),AND(LEN('Special Help Table'!$A606)-LEN(SUBSTITUTE('Special Help Table'!$A606,"and ",""))=0,LEN('Special Help Table'!$A606)-LEN(SUBSTITUTE('Special Help Table'!$A606,";",""))=0),'Special Help Table'!$A606,AND(LEN('Special Help Table'!$A606)-LEN(SUBSTITUTE('Special Help Table'!$A606,",","")=1),LEN('Special Help Table'!$A606)-LEN(SUBSTITUTE('Special Help Table'!$A606," ","")=20),LEN('Special Help Table'!$A606)-LEN(SUBSTITUTE('Special Help Table'!$A606," and",""))=0,LEN('Special Help Table'!$A606)-LEN(SUBSTITUTE('Special Help Table'!$A606,",","",FIND(" ",'Special Help Table'!$A606)+1))=0),RIGHT('Special Help Table'!$A606,LEN('Special Help Table'!$A606)-FIND(", ",'Special Help Table'!$A606))&amp;" "&amp;LEFT('Special Help Table'!$A606,FIND(",",'Special Help Table'!$A606)-1),AND(LEN('Special Help Table'!$A606)-LEN(SUBSTITUTE('Special Help Table'!$A606,"editor",""))=6,LEN('Special Help Table'!$A606)-LEN(SUBSTITUTE('Special Help Table'!$A606,"(",""))=0,LEN('Special Help Table'!$A606)-LEN(SUBSTITUTE('Special Help Table'!$A606,"and",""))=3,LEN('Special Help Table'!$A606)-LEN(SUBSTITUTE('Special Help Table'!$A606,",",""))=1,LEN('Special Help Table'!$A606)-LEN(SUBSTITUTE('Special Help Table'!$A606," ",""))=3),'Special Help Table'!$A606)</f>
        <v xml:space="preserve"> Vern S. Poythress</v>
      </c>
      <c r="C606" s="4" t="s">
        <v>1138</v>
      </c>
      <c r="D606" s="2"/>
      <c r="E606" s="2" t="s">
        <v>16</v>
      </c>
      <c r="F606" s="2" t="s">
        <v>76</v>
      </c>
      <c r="G606" s="2"/>
      <c r="H606" s="2"/>
      <c r="I606" s="2"/>
      <c r="J606" s="2"/>
      <c r="K606" s="3">
        <v>41560</v>
      </c>
      <c r="L606" s="2"/>
      <c r="M606" s="2"/>
      <c r="N606" s="2" t="s">
        <v>18</v>
      </c>
    </row>
    <row r="607" spans="1:14" ht="15.75" customHeight="1" x14ac:dyDescent="0.35">
      <c r="A607" s="2" t="s">
        <v>1139</v>
      </c>
      <c r="B607" s="2" t="str" cm="1">
        <f t="array" ref="B607">_xlfn.IFS(AND(LEN('Special Help Table'!$A607)-(LEN(SUBSTITUTE('Special Help Table'!$A607,";","")))=0,LEN('Special Help Table'!$A607)-LEN(SUBSTITUTE('Special Help Table'!$A607,",",""))=1,LEN('Special Help Table'!$A607)-LEN(SUBSTITUTE('Special Help Table'!$A607,"and ",""))=0),MID('Special Help Table'!$A607&amp;" "&amp;'Special Help Table'!$A607,SEARCH(", ",'Special Help Table'!$A607)+1,LEN('Special Help Table'!$A607)),AND(LEN('Special Help Table'!$A607)-(LEN(SUBSTITUTE('Special Help Table'!$A607,";","")))=1,LEN('Special Help Table'!$A607)-LEN(SUBSTITUTE('Special Help Table'!$A607,"and ",""))=0),MID('Special Help Table'!$A607,SEARCH(",",'Special Help Table'!$A607)+1,(SEARCH(";",'Special Help Table'!$A607)-1)-SEARCH(",",'Special Help Table'!$A607))&amp;" "&amp;LEFT('Special Help Table'!$A607,SEARCH(",",'Special Help Table'!$A607)-1)&amp;";"&amp;RIGHT('Special Help Table'!$A607,LEN('Special Help Table'!$A607)-SEARCH(",",'Special Help Table'!$A607,SEARCH(";",'Special Help Table'!$A607)))&amp;" "&amp;MID('Special Help Table'!$A607,SEARCH("; ",'Special Help Table'!$A607)+2,SEARCH(",",'Special Help Table'!$A607,SEARCH(";",'Special Help Table'!$A607))-SEARCH(";",'Special Help Table'!$A607)-2),AND(LEN('Special Help Table'!$A607)-LEN(SUBSTITUTE('Special Help Table'!$A607,"and ",""))=0,LEN('Special Help Table'!$A607)-LEN(SUBSTITUTE('Special Help Table'!$A607,";",""))=0),'Special Help Table'!$A607,AND(LEN('Special Help Table'!$A607)-LEN(SUBSTITUTE('Special Help Table'!$A607,",","")=1),LEN('Special Help Table'!$A607)-LEN(SUBSTITUTE('Special Help Table'!$A607," ","")=20),LEN('Special Help Table'!$A607)-LEN(SUBSTITUTE('Special Help Table'!$A607," and",""))=0,LEN('Special Help Table'!$A607)-LEN(SUBSTITUTE('Special Help Table'!$A607,",","",FIND(" ",'Special Help Table'!$A607)+1))=0),RIGHT('Special Help Table'!$A607,LEN('Special Help Table'!$A607)-FIND(", ",'Special Help Table'!$A607))&amp;" "&amp;LEFT('Special Help Table'!$A607,FIND(",",'Special Help Table'!$A607)-1),AND(LEN('Special Help Table'!$A607)-LEN(SUBSTITUTE('Special Help Table'!$A607,"editor",""))=6,LEN('Special Help Table'!$A607)-LEN(SUBSTITUTE('Special Help Table'!$A607,"(",""))=0,LEN('Special Help Table'!$A607)-LEN(SUBSTITUTE('Special Help Table'!$A607,"and",""))=3,LEN('Special Help Table'!$A607)-LEN(SUBSTITUTE('Special Help Table'!$A607,",",""))=1,LEN('Special Help Table'!$A607)-LEN(SUBSTITUTE('Special Help Table'!$A607," ",""))=3),'Special Help Table'!$A607)</f>
        <v xml:space="preserve"> Elizabeth Prentiss</v>
      </c>
      <c r="C607" s="4" t="s">
        <v>1140</v>
      </c>
      <c r="D607" s="2" t="s">
        <v>1141</v>
      </c>
      <c r="E607" s="2" t="s">
        <v>16</v>
      </c>
      <c r="F607" s="2" t="s">
        <v>151</v>
      </c>
      <c r="G607" s="2"/>
      <c r="H607" s="2"/>
      <c r="I607" s="2"/>
      <c r="J607" s="2" t="s">
        <v>152</v>
      </c>
      <c r="K607" s="3">
        <v>41712</v>
      </c>
      <c r="L607" s="2"/>
      <c r="M607" s="2"/>
      <c r="N607" s="2" t="s">
        <v>18</v>
      </c>
    </row>
    <row r="608" spans="1:14" ht="15.75" customHeight="1" x14ac:dyDescent="0.35">
      <c r="A608" s="2" t="s">
        <v>1142</v>
      </c>
      <c r="B608" s="2" t="str" cm="1">
        <f t="array" ref="B608">_xlfn.IFS(AND(LEN('Special Help Table'!$A608)-(LEN(SUBSTITUTE('Special Help Table'!$A608,";","")))=0,LEN('Special Help Table'!$A608)-LEN(SUBSTITUTE('Special Help Table'!$A608,",",""))=1,LEN('Special Help Table'!$A608)-LEN(SUBSTITUTE('Special Help Table'!$A608,"and ",""))=0),MID('Special Help Table'!$A608&amp;" "&amp;'Special Help Table'!$A608,SEARCH(", ",'Special Help Table'!$A608)+1,LEN('Special Help Table'!$A608)),AND(LEN('Special Help Table'!$A608)-(LEN(SUBSTITUTE('Special Help Table'!$A608,";","")))=1,LEN('Special Help Table'!$A608)-LEN(SUBSTITUTE('Special Help Table'!$A608,"and ",""))=0),MID('Special Help Table'!$A608,SEARCH(",",'Special Help Table'!$A608)+1,(SEARCH(";",'Special Help Table'!$A608)-1)-SEARCH(",",'Special Help Table'!$A608))&amp;" "&amp;LEFT('Special Help Table'!$A608,SEARCH(",",'Special Help Table'!$A608)-1)&amp;";"&amp;RIGHT('Special Help Table'!$A608,LEN('Special Help Table'!$A608)-SEARCH(",",'Special Help Table'!$A608,SEARCH(";",'Special Help Table'!$A608)))&amp;" "&amp;MID('Special Help Table'!$A608,SEARCH("; ",'Special Help Table'!$A608)+2,SEARCH(",",'Special Help Table'!$A608,SEARCH(";",'Special Help Table'!$A608))-SEARCH(";",'Special Help Table'!$A608)-2),AND(LEN('Special Help Table'!$A608)-LEN(SUBSTITUTE('Special Help Table'!$A608,"and ",""))=0,LEN('Special Help Table'!$A608)-LEN(SUBSTITUTE('Special Help Table'!$A608,";",""))=0),'Special Help Table'!$A608,AND(LEN('Special Help Table'!$A608)-LEN(SUBSTITUTE('Special Help Table'!$A608,",","")=1),LEN('Special Help Table'!$A608)-LEN(SUBSTITUTE('Special Help Table'!$A608," ","")=20),LEN('Special Help Table'!$A608)-LEN(SUBSTITUTE('Special Help Table'!$A608," and",""))=0,LEN('Special Help Table'!$A608)-LEN(SUBSTITUTE('Special Help Table'!$A608,",","",FIND(" ",'Special Help Table'!$A608)+1))=0),RIGHT('Special Help Table'!$A608,LEN('Special Help Table'!$A608)-FIND(", ",'Special Help Table'!$A608))&amp;" "&amp;LEFT('Special Help Table'!$A608,FIND(",",'Special Help Table'!$A608)-1),AND(LEN('Special Help Table'!$A608)-LEN(SUBSTITUTE('Special Help Table'!$A608,"editor",""))=6,LEN('Special Help Table'!$A608)-LEN(SUBSTITUTE('Special Help Table'!$A608,"(",""))=0,LEN('Special Help Table'!$A608)-LEN(SUBSTITUTE('Special Help Table'!$A608,"and",""))=3,LEN('Special Help Table'!$A608)-LEN(SUBSTITUTE('Special Help Table'!$A608,",",""))=1,LEN('Special Help Table'!$A608)-LEN(SUBSTITUTE('Special Help Table'!$A608," ",""))=3),'Special Help Table'!$A608)</f>
        <v xml:space="preserve"> Lou Priolo</v>
      </c>
      <c r="C608" s="4" t="s">
        <v>1143</v>
      </c>
      <c r="D608" s="2"/>
      <c r="E608" s="2" t="s">
        <v>16</v>
      </c>
      <c r="F608" s="2" t="s">
        <v>17</v>
      </c>
      <c r="G608" s="2"/>
      <c r="H608" s="2"/>
      <c r="I608" s="2"/>
      <c r="J608" s="2" t="s">
        <v>936</v>
      </c>
      <c r="K608" s="3">
        <v>40050</v>
      </c>
      <c r="L608" s="2"/>
      <c r="M608" s="2"/>
      <c r="N608" s="2" t="s">
        <v>18</v>
      </c>
    </row>
    <row r="609" spans="1:14" ht="15.75" customHeight="1" x14ac:dyDescent="0.35">
      <c r="A609" s="2" t="s">
        <v>1144</v>
      </c>
      <c r="B609" s="2" t="str" cm="1">
        <f t="array" ref="B609">_xlfn.IFS(AND(LEN('Special Help Table'!$A609)-(LEN(SUBSTITUTE('Special Help Table'!$A609,";","")))=0,LEN('Special Help Table'!$A609)-LEN(SUBSTITUTE('Special Help Table'!$A609,",",""))=1,LEN('Special Help Table'!$A609)-LEN(SUBSTITUTE('Special Help Table'!$A609,"and ",""))=0),MID('Special Help Table'!$A609&amp;" "&amp;'Special Help Table'!$A609,SEARCH(", ",'Special Help Table'!$A609)+1,LEN('Special Help Table'!$A609)),AND(LEN('Special Help Table'!$A609)-(LEN(SUBSTITUTE('Special Help Table'!$A609,";","")))=1,LEN('Special Help Table'!$A609)-LEN(SUBSTITUTE('Special Help Table'!$A609,"and ",""))=0),MID('Special Help Table'!$A609,SEARCH(",",'Special Help Table'!$A609)+1,(SEARCH(";",'Special Help Table'!$A609)-1)-SEARCH(",",'Special Help Table'!$A609))&amp;" "&amp;LEFT('Special Help Table'!$A609,SEARCH(",",'Special Help Table'!$A609)-1)&amp;";"&amp;RIGHT('Special Help Table'!$A609,LEN('Special Help Table'!$A609)-SEARCH(",",'Special Help Table'!$A609,SEARCH(";",'Special Help Table'!$A609)))&amp;" "&amp;MID('Special Help Table'!$A609,SEARCH("; ",'Special Help Table'!$A609)+2,SEARCH(",",'Special Help Table'!$A609,SEARCH(";",'Special Help Table'!$A609))-SEARCH(";",'Special Help Table'!$A609)-2),AND(LEN('Special Help Table'!$A609)-LEN(SUBSTITUTE('Special Help Table'!$A609,"and ",""))=0,LEN('Special Help Table'!$A609)-LEN(SUBSTITUTE('Special Help Table'!$A609,";",""))=0),'Special Help Table'!$A609,AND(LEN('Special Help Table'!$A609)-LEN(SUBSTITUTE('Special Help Table'!$A609,",","")=1),LEN('Special Help Table'!$A609)-LEN(SUBSTITUTE('Special Help Table'!$A609," ","")=20),LEN('Special Help Table'!$A609)-LEN(SUBSTITUTE('Special Help Table'!$A609," and",""))=0,LEN('Special Help Table'!$A609)-LEN(SUBSTITUTE('Special Help Table'!$A609,",","",FIND(" ",'Special Help Table'!$A609)+1))=0),RIGHT('Special Help Table'!$A609,LEN('Special Help Table'!$A609)-FIND(", ",'Special Help Table'!$A609))&amp;" "&amp;LEFT('Special Help Table'!$A609,FIND(",",'Special Help Table'!$A609)-1),AND(LEN('Special Help Table'!$A609)-LEN(SUBSTITUTE('Special Help Table'!$A609,"editor",""))=6,LEN('Special Help Table'!$A609)-LEN(SUBSTITUTE('Special Help Table'!$A609,"(",""))=0,LEN('Special Help Table'!$A609)-LEN(SUBSTITUTE('Special Help Table'!$A609,"and",""))=3,LEN('Special Help Table'!$A609)-LEN(SUBSTITUTE('Special Help Table'!$A609,",",""))=1,LEN('Special Help Table'!$A609)-LEN(SUBSTITUTE('Special Help Table'!$A609," ",""))=3),'Special Help Table'!$A609)</f>
        <v xml:space="preserve"> Devon Provencher</v>
      </c>
      <c r="C609" s="4" t="s">
        <v>1145</v>
      </c>
      <c r="D609" s="2" t="s">
        <v>1146</v>
      </c>
      <c r="E609" s="2" t="s">
        <v>16</v>
      </c>
      <c r="F609" s="2" t="s">
        <v>72</v>
      </c>
      <c r="G609" s="2"/>
      <c r="H609" s="2"/>
      <c r="I609" s="2"/>
      <c r="J609" s="2"/>
      <c r="K609" s="3">
        <v>43988</v>
      </c>
      <c r="L609" s="2"/>
      <c r="M609" s="2"/>
      <c r="N609" s="2" t="s">
        <v>18</v>
      </c>
    </row>
    <row r="610" spans="1:14" ht="15.75" customHeight="1" x14ac:dyDescent="0.35">
      <c r="A610" s="2" t="s">
        <v>1144</v>
      </c>
      <c r="B610" s="2" t="str" cm="1">
        <f t="array" ref="B610">_xlfn.IFS(AND(LEN('Special Help Table'!$A610)-(LEN(SUBSTITUTE('Special Help Table'!$A610,";","")))=0,LEN('Special Help Table'!$A610)-LEN(SUBSTITUTE('Special Help Table'!$A610,",",""))=1,LEN('Special Help Table'!$A610)-LEN(SUBSTITUTE('Special Help Table'!$A610,"and ",""))=0),MID('Special Help Table'!$A610&amp;" "&amp;'Special Help Table'!$A610,SEARCH(", ",'Special Help Table'!$A610)+1,LEN('Special Help Table'!$A610)),AND(LEN('Special Help Table'!$A610)-(LEN(SUBSTITUTE('Special Help Table'!$A610,";","")))=1,LEN('Special Help Table'!$A610)-LEN(SUBSTITUTE('Special Help Table'!$A610,"and ",""))=0),MID('Special Help Table'!$A610,SEARCH(",",'Special Help Table'!$A610)+1,(SEARCH(";",'Special Help Table'!$A610)-1)-SEARCH(",",'Special Help Table'!$A610))&amp;" "&amp;LEFT('Special Help Table'!$A610,SEARCH(",",'Special Help Table'!$A610)-1)&amp;";"&amp;RIGHT('Special Help Table'!$A610,LEN('Special Help Table'!$A610)-SEARCH(",",'Special Help Table'!$A610,SEARCH(";",'Special Help Table'!$A610)))&amp;" "&amp;MID('Special Help Table'!$A610,SEARCH("; ",'Special Help Table'!$A610)+2,SEARCH(",",'Special Help Table'!$A610,SEARCH(";",'Special Help Table'!$A610))-SEARCH(";",'Special Help Table'!$A610)-2),AND(LEN('Special Help Table'!$A610)-LEN(SUBSTITUTE('Special Help Table'!$A610,"and ",""))=0,LEN('Special Help Table'!$A610)-LEN(SUBSTITUTE('Special Help Table'!$A610,";",""))=0),'Special Help Table'!$A610,AND(LEN('Special Help Table'!$A610)-LEN(SUBSTITUTE('Special Help Table'!$A610,",","")=1),LEN('Special Help Table'!$A610)-LEN(SUBSTITUTE('Special Help Table'!$A610," ","")=20),LEN('Special Help Table'!$A610)-LEN(SUBSTITUTE('Special Help Table'!$A610," and",""))=0,LEN('Special Help Table'!$A610)-LEN(SUBSTITUTE('Special Help Table'!$A610,",","",FIND(" ",'Special Help Table'!$A610)+1))=0),RIGHT('Special Help Table'!$A610,LEN('Special Help Table'!$A610)-FIND(", ",'Special Help Table'!$A610))&amp;" "&amp;LEFT('Special Help Table'!$A610,FIND(",",'Special Help Table'!$A610)-1),AND(LEN('Special Help Table'!$A610)-LEN(SUBSTITUTE('Special Help Table'!$A610,"editor",""))=6,LEN('Special Help Table'!$A610)-LEN(SUBSTITUTE('Special Help Table'!$A610,"(",""))=0,LEN('Special Help Table'!$A610)-LEN(SUBSTITUTE('Special Help Table'!$A610,"and",""))=3,LEN('Special Help Table'!$A610)-LEN(SUBSTITUTE('Special Help Table'!$A610,",",""))=1,LEN('Special Help Table'!$A610)-LEN(SUBSTITUTE('Special Help Table'!$A610," ",""))=3),'Special Help Table'!$A610)</f>
        <v xml:space="preserve"> Devon Provencher</v>
      </c>
      <c r="C610" s="4" t="s">
        <v>1147</v>
      </c>
      <c r="D610" s="2" t="s">
        <v>1146</v>
      </c>
      <c r="E610" s="2" t="s">
        <v>16</v>
      </c>
      <c r="F610" s="2" t="s">
        <v>72</v>
      </c>
      <c r="G610" s="2"/>
      <c r="H610" s="2"/>
      <c r="I610" s="2"/>
      <c r="J610" s="2"/>
      <c r="K610" s="3">
        <v>43988</v>
      </c>
      <c r="L610" s="2"/>
      <c r="M610" s="2"/>
      <c r="N610" s="2" t="s">
        <v>18</v>
      </c>
    </row>
    <row r="611" spans="1:14" ht="15.75" customHeight="1" x14ac:dyDescent="0.35">
      <c r="A611" s="2" t="s">
        <v>1144</v>
      </c>
      <c r="B611" s="2" t="str" cm="1">
        <f t="array" ref="B611">_xlfn.IFS(AND(LEN('Special Help Table'!$A611)-(LEN(SUBSTITUTE('Special Help Table'!$A611,";","")))=0,LEN('Special Help Table'!$A611)-LEN(SUBSTITUTE('Special Help Table'!$A611,",",""))=1,LEN('Special Help Table'!$A611)-LEN(SUBSTITUTE('Special Help Table'!$A611,"and ",""))=0),MID('Special Help Table'!$A611&amp;" "&amp;'Special Help Table'!$A611,SEARCH(", ",'Special Help Table'!$A611)+1,LEN('Special Help Table'!$A611)),AND(LEN('Special Help Table'!$A611)-(LEN(SUBSTITUTE('Special Help Table'!$A611,";","")))=1,LEN('Special Help Table'!$A611)-LEN(SUBSTITUTE('Special Help Table'!$A611,"and ",""))=0),MID('Special Help Table'!$A611,SEARCH(",",'Special Help Table'!$A611)+1,(SEARCH(";",'Special Help Table'!$A611)-1)-SEARCH(",",'Special Help Table'!$A611))&amp;" "&amp;LEFT('Special Help Table'!$A611,SEARCH(",",'Special Help Table'!$A611)-1)&amp;";"&amp;RIGHT('Special Help Table'!$A611,LEN('Special Help Table'!$A611)-SEARCH(",",'Special Help Table'!$A611,SEARCH(";",'Special Help Table'!$A611)))&amp;" "&amp;MID('Special Help Table'!$A611,SEARCH("; ",'Special Help Table'!$A611)+2,SEARCH(",",'Special Help Table'!$A611,SEARCH(";",'Special Help Table'!$A611))-SEARCH(";",'Special Help Table'!$A611)-2),AND(LEN('Special Help Table'!$A611)-LEN(SUBSTITUTE('Special Help Table'!$A611,"and ",""))=0,LEN('Special Help Table'!$A611)-LEN(SUBSTITUTE('Special Help Table'!$A611,";",""))=0),'Special Help Table'!$A611,AND(LEN('Special Help Table'!$A611)-LEN(SUBSTITUTE('Special Help Table'!$A611,",","")=1),LEN('Special Help Table'!$A611)-LEN(SUBSTITUTE('Special Help Table'!$A611," ","")=20),LEN('Special Help Table'!$A611)-LEN(SUBSTITUTE('Special Help Table'!$A611," and",""))=0,LEN('Special Help Table'!$A611)-LEN(SUBSTITUTE('Special Help Table'!$A611,",","",FIND(" ",'Special Help Table'!$A611)+1))=0),RIGHT('Special Help Table'!$A611,LEN('Special Help Table'!$A611)-FIND(", ",'Special Help Table'!$A611))&amp;" "&amp;LEFT('Special Help Table'!$A611,FIND(",",'Special Help Table'!$A611)-1),AND(LEN('Special Help Table'!$A611)-LEN(SUBSTITUTE('Special Help Table'!$A611,"editor",""))=6,LEN('Special Help Table'!$A611)-LEN(SUBSTITUTE('Special Help Table'!$A611,"(",""))=0,LEN('Special Help Table'!$A611)-LEN(SUBSTITUTE('Special Help Table'!$A611,"and",""))=3,LEN('Special Help Table'!$A611)-LEN(SUBSTITUTE('Special Help Table'!$A611,",",""))=1,LEN('Special Help Table'!$A611)-LEN(SUBSTITUTE('Special Help Table'!$A611," ",""))=3),'Special Help Table'!$A611)</f>
        <v xml:space="preserve"> Devon Provencher</v>
      </c>
      <c r="C611" s="4" t="s">
        <v>1148</v>
      </c>
      <c r="D611" s="2" t="s">
        <v>1146</v>
      </c>
      <c r="E611" s="2" t="s">
        <v>16</v>
      </c>
      <c r="F611" s="2" t="s">
        <v>72</v>
      </c>
      <c r="G611" s="2"/>
      <c r="H611" s="2"/>
      <c r="I611" s="2"/>
      <c r="J611" s="2"/>
      <c r="K611" s="3">
        <v>43988</v>
      </c>
      <c r="L611" s="2"/>
      <c r="M611" s="2"/>
      <c r="N611" s="2" t="s">
        <v>18</v>
      </c>
    </row>
    <row r="612" spans="1:14" ht="15.75" customHeight="1" x14ac:dyDescent="0.35">
      <c r="A612" s="2" t="s">
        <v>1149</v>
      </c>
      <c r="B612" s="2" t="str" cm="1">
        <f t="array" ref="B612">_xlfn.IFS(AND(LEN('Special Help Table'!$A612)-(LEN(SUBSTITUTE('Special Help Table'!$A612,";","")))=0,LEN('Special Help Table'!$A612)-LEN(SUBSTITUTE('Special Help Table'!$A612,",",""))=1,LEN('Special Help Table'!$A612)-LEN(SUBSTITUTE('Special Help Table'!$A612,"and ",""))=0),MID('Special Help Table'!$A612&amp;" "&amp;'Special Help Table'!$A612,SEARCH(", ",'Special Help Table'!$A612)+1,LEN('Special Help Table'!$A612)),AND(LEN('Special Help Table'!$A612)-(LEN(SUBSTITUTE('Special Help Table'!$A612,";","")))=1,LEN('Special Help Table'!$A612)-LEN(SUBSTITUTE('Special Help Table'!$A612,"and ",""))=0),MID('Special Help Table'!$A612,SEARCH(",",'Special Help Table'!$A612)+1,(SEARCH(";",'Special Help Table'!$A612)-1)-SEARCH(",",'Special Help Table'!$A612))&amp;" "&amp;LEFT('Special Help Table'!$A612,SEARCH(",",'Special Help Table'!$A612)-1)&amp;";"&amp;RIGHT('Special Help Table'!$A612,LEN('Special Help Table'!$A612)-SEARCH(",",'Special Help Table'!$A612,SEARCH(";",'Special Help Table'!$A612)))&amp;" "&amp;MID('Special Help Table'!$A612,SEARCH("; ",'Special Help Table'!$A612)+2,SEARCH(",",'Special Help Table'!$A612,SEARCH(";",'Special Help Table'!$A612))-SEARCH(";",'Special Help Table'!$A612)-2),AND(LEN('Special Help Table'!$A612)-LEN(SUBSTITUTE('Special Help Table'!$A612,"and ",""))=0,LEN('Special Help Table'!$A612)-LEN(SUBSTITUTE('Special Help Table'!$A612,";",""))=0),'Special Help Table'!$A612,AND(LEN('Special Help Table'!$A612)-LEN(SUBSTITUTE('Special Help Table'!$A612,",","")=1),LEN('Special Help Table'!$A612)-LEN(SUBSTITUTE('Special Help Table'!$A612," ","")=20),LEN('Special Help Table'!$A612)-LEN(SUBSTITUTE('Special Help Table'!$A612," and",""))=0,LEN('Special Help Table'!$A612)-LEN(SUBSTITUTE('Special Help Table'!$A612,",","",FIND(" ",'Special Help Table'!$A612)+1))=0),RIGHT('Special Help Table'!$A612,LEN('Special Help Table'!$A612)-FIND(", ",'Special Help Table'!$A612))&amp;" "&amp;LEFT('Special Help Table'!$A612,FIND(",",'Special Help Table'!$A612)-1),AND(LEN('Special Help Table'!$A612)-LEN(SUBSTITUTE('Special Help Table'!$A612,"editor",""))=6,LEN('Special Help Table'!$A612)-LEN(SUBSTITUTE('Special Help Table'!$A612,"(",""))=0,LEN('Special Help Table'!$A612)-LEN(SUBSTITUTE('Special Help Table'!$A612,"and",""))=3,LEN('Special Help Table'!$A612)-LEN(SUBSTITUTE('Special Help Table'!$A612,",",""))=1,LEN('Special Help Table'!$A612)-LEN(SUBSTITUTE('Special Help Table'!$A612," ",""))=3),'Special Help Table'!$A612)</f>
        <v xml:space="preserve"> Thom S. Rainer</v>
      </c>
      <c r="C612" s="4" t="s">
        <v>1150</v>
      </c>
      <c r="D612" s="2"/>
      <c r="E612" s="2" t="s">
        <v>16</v>
      </c>
      <c r="F612" s="2" t="s">
        <v>33</v>
      </c>
      <c r="G612" s="2"/>
      <c r="H612" s="2"/>
      <c r="I612" s="2"/>
      <c r="J612" s="2" t="s">
        <v>49</v>
      </c>
      <c r="K612" s="3">
        <v>42309</v>
      </c>
      <c r="L612" s="2"/>
      <c r="M612" s="2"/>
      <c r="N612" s="2" t="s">
        <v>18</v>
      </c>
    </row>
    <row r="613" spans="1:14" ht="15.75" customHeight="1" x14ac:dyDescent="0.35">
      <c r="A613" s="2" t="s">
        <v>1149</v>
      </c>
      <c r="B613" s="2" t="str" cm="1">
        <f t="array" ref="B613">_xlfn.IFS(AND(LEN('Special Help Table'!$A613)-(LEN(SUBSTITUTE('Special Help Table'!$A613,";","")))=0,LEN('Special Help Table'!$A613)-LEN(SUBSTITUTE('Special Help Table'!$A613,",",""))=1,LEN('Special Help Table'!$A613)-LEN(SUBSTITUTE('Special Help Table'!$A613,"and ",""))=0),MID('Special Help Table'!$A613&amp;" "&amp;'Special Help Table'!$A613,SEARCH(", ",'Special Help Table'!$A613)+1,LEN('Special Help Table'!$A613)),AND(LEN('Special Help Table'!$A613)-(LEN(SUBSTITUTE('Special Help Table'!$A613,";","")))=1,LEN('Special Help Table'!$A613)-LEN(SUBSTITUTE('Special Help Table'!$A613,"and ",""))=0),MID('Special Help Table'!$A613,SEARCH(",",'Special Help Table'!$A613)+1,(SEARCH(";",'Special Help Table'!$A613)-1)-SEARCH(",",'Special Help Table'!$A613))&amp;" "&amp;LEFT('Special Help Table'!$A613,SEARCH(",",'Special Help Table'!$A613)-1)&amp;";"&amp;RIGHT('Special Help Table'!$A613,LEN('Special Help Table'!$A613)-SEARCH(",",'Special Help Table'!$A613,SEARCH(";",'Special Help Table'!$A613)))&amp;" "&amp;MID('Special Help Table'!$A613,SEARCH("; ",'Special Help Table'!$A613)+2,SEARCH(",",'Special Help Table'!$A613,SEARCH(";",'Special Help Table'!$A613))-SEARCH(";",'Special Help Table'!$A613)-2),AND(LEN('Special Help Table'!$A613)-LEN(SUBSTITUTE('Special Help Table'!$A613,"and ",""))=0,LEN('Special Help Table'!$A613)-LEN(SUBSTITUTE('Special Help Table'!$A613,";",""))=0),'Special Help Table'!$A613,AND(LEN('Special Help Table'!$A613)-LEN(SUBSTITUTE('Special Help Table'!$A613,",","")=1),LEN('Special Help Table'!$A613)-LEN(SUBSTITUTE('Special Help Table'!$A613," ","")=20),LEN('Special Help Table'!$A613)-LEN(SUBSTITUTE('Special Help Table'!$A613," and",""))=0,LEN('Special Help Table'!$A613)-LEN(SUBSTITUTE('Special Help Table'!$A613,",","",FIND(" ",'Special Help Table'!$A613)+1))=0),RIGHT('Special Help Table'!$A613,LEN('Special Help Table'!$A613)-FIND(", ",'Special Help Table'!$A613))&amp;" "&amp;LEFT('Special Help Table'!$A613,FIND(",",'Special Help Table'!$A613)-1),AND(LEN('Special Help Table'!$A613)-LEN(SUBSTITUTE('Special Help Table'!$A613,"editor",""))=6,LEN('Special Help Table'!$A613)-LEN(SUBSTITUTE('Special Help Table'!$A613,"(",""))=0,LEN('Special Help Table'!$A613)-LEN(SUBSTITUTE('Special Help Table'!$A613,"and",""))=3,LEN('Special Help Table'!$A613)-LEN(SUBSTITUTE('Special Help Table'!$A613,",",""))=1,LEN('Special Help Table'!$A613)-LEN(SUBSTITUTE('Special Help Table'!$A613," ",""))=3),'Special Help Table'!$A613)</f>
        <v xml:space="preserve"> Thom S. Rainer</v>
      </c>
      <c r="C613" s="4" t="s">
        <v>1151</v>
      </c>
      <c r="D613" s="2"/>
      <c r="E613" s="2" t="s">
        <v>16</v>
      </c>
      <c r="F613" s="2" t="s">
        <v>36</v>
      </c>
      <c r="G613" s="2"/>
      <c r="H613" s="2"/>
      <c r="I613" s="2"/>
      <c r="J613" s="2"/>
      <c r="K613" s="3">
        <v>44423</v>
      </c>
      <c r="L613" s="2"/>
      <c r="M613" s="2"/>
      <c r="N613" s="2" t="s">
        <v>18</v>
      </c>
    </row>
    <row r="614" spans="1:14" ht="15.75" customHeight="1" x14ac:dyDescent="0.35">
      <c r="A614" s="2" t="s">
        <v>1152</v>
      </c>
      <c r="B614" s="2" t="str" cm="1">
        <f t="array" ref="B614">_xlfn.IFS(AND(LEN('Special Help Table'!$A614)-(LEN(SUBSTITUTE('Special Help Table'!$A614,";","")))=0,LEN('Special Help Table'!$A614)-LEN(SUBSTITUTE('Special Help Table'!$A614,",",""))=1,LEN('Special Help Table'!$A614)-LEN(SUBSTITUTE('Special Help Table'!$A614,"and ",""))=0),MID('Special Help Table'!$A614&amp;" "&amp;'Special Help Table'!$A614,SEARCH(", ",'Special Help Table'!$A614)+1,LEN('Special Help Table'!$A614)),AND(LEN('Special Help Table'!$A614)-(LEN(SUBSTITUTE('Special Help Table'!$A614,";","")))=1,LEN('Special Help Table'!$A614)-LEN(SUBSTITUTE('Special Help Table'!$A614,"and ",""))=0),MID('Special Help Table'!$A614,SEARCH(",",'Special Help Table'!$A614)+1,(SEARCH(";",'Special Help Table'!$A614)-1)-SEARCH(",",'Special Help Table'!$A614))&amp;" "&amp;LEFT('Special Help Table'!$A614,SEARCH(",",'Special Help Table'!$A614)-1)&amp;";"&amp;RIGHT('Special Help Table'!$A614,LEN('Special Help Table'!$A614)-SEARCH(",",'Special Help Table'!$A614,SEARCH(";",'Special Help Table'!$A614)))&amp;" "&amp;MID('Special Help Table'!$A614,SEARCH("; ",'Special Help Table'!$A614)+2,SEARCH(",",'Special Help Table'!$A614,SEARCH(";",'Special Help Table'!$A614))-SEARCH(";",'Special Help Table'!$A614)-2),AND(LEN('Special Help Table'!$A614)-LEN(SUBSTITUTE('Special Help Table'!$A614,"and ",""))=0,LEN('Special Help Table'!$A614)-LEN(SUBSTITUTE('Special Help Table'!$A614,";",""))=0),'Special Help Table'!$A614,AND(LEN('Special Help Table'!$A614)-LEN(SUBSTITUTE('Special Help Table'!$A614,",","")=1),LEN('Special Help Table'!$A614)-LEN(SUBSTITUTE('Special Help Table'!$A614," ","")=20),LEN('Special Help Table'!$A614)-LEN(SUBSTITUTE('Special Help Table'!$A614," and",""))=0,LEN('Special Help Table'!$A614)-LEN(SUBSTITUTE('Special Help Table'!$A614,",","",FIND(" ",'Special Help Table'!$A614)+1))=0),RIGHT('Special Help Table'!$A614,LEN('Special Help Table'!$A614)-FIND(", ",'Special Help Table'!$A614))&amp;" "&amp;LEFT('Special Help Table'!$A614,FIND(",",'Special Help Table'!$A614)-1),AND(LEN('Special Help Table'!$A614)-LEN(SUBSTITUTE('Special Help Table'!$A614,"editor",""))=6,LEN('Special Help Table'!$A614)-LEN(SUBSTITUTE('Special Help Table'!$A614,"(",""))=0,LEN('Special Help Table'!$A614)-LEN(SUBSTITUTE('Special Help Table'!$A614,"and",""))=3,LEN('Special Help Table'!$A614)-LEN(SUBSTITUTE('Special Help Table'!$A614,",",""))=1,LEN('Special Help Table'!$A614)-LEN(SUBSTITUTE('Special Help Table'!$A614," ",""))=3),'Special Help Table'!$A614)</f>
        <v xml:space="preserve"> Ken Ramey</v>
      </c>
      <c r="C614" s="4" t="s">
        <v>1153</v>
      </c>
      <c r="D614" s="2"/>
      <c r="E614" s="2" t="s">
        <v>16</v>
      </c>
      <c r="F614" s="2" t="s">
        <v>36</v>
      </c>
      <c r="G614" s="2"/>
      <c r="H614" s="2"/>
      <c r="I614" s="2"/>
      <c r="J614" s="2"/>
      <c r="K614" s="3">
        <v>40735</v>
      </c>
      <c r="L614" s="2"/>
      <c r="M614" s="2"/>
      <c r="N614" s="2" t="s">
        <v>18</v>
      </c>
    </row>
    <row r="615" spans="1:14" ht="15.75" customHeight="1" x14ac:dyDescent="0.35">
      <c r="A615" s="2" t="s">
        <v>1154</v>
      </c>
      <c r="B615" s="2" t="str" cm="1">
        <f t="array" ref="B615">_xlfn.IFS(AND(LEN('Special Help Table'!$A615)-(LEN(SUBSTITUTE('Special Help Table'!$A615,";","")))=0,LEN('Special Help Table'!$A615)-LEN(SUBSTITUTE('Special Help Table'!$A615,",",""))=1,LEN('Special Help Table'!$A615)-LEN(SUBSTITUTE('Special Help Table'!$A615,"and ",""))=0),MID('Special Help Table'!$A615&amp;" "&amp;'Special Help Table'!$A615,SEARCH(", ",'Special Help Table'!$A615)+1,LEN('Special Help Table'!$A615)),AND(LEN('Special Help Table'!$A615)-(LEN(SUBSTITUTE('Special Help Table'!$A615,";","")))=1,LEN('Special Help Table'!$A615)-LEN(SUBSTITUTE('Special Help Table'!$A615,"and ",""))=0),MID('Special Help Table'!$A615,SEARCH(",",'Special Help Table'!$A615)+1,(SEARCH(";",'Special Help Table'!$A615)-1)-SEARCH(",",'Special Help Table'!$A615))&amp;" "&amp;LEFT('Special Help Table'!$A615,SEARCH(",",'Special Help Table'!$A615)-1)&amp;";"&amp;RIGHT('Special Help Table'!$A615,LEN('Special Help Table'!$A615)-SEARCH(",",'Special Help Table'!$A615,SEARCH(";",'Special Help Table'!$A615)))&amp;" "&amp;MID('Special Help Table'!$A615,SEARCH("; ",'Special Help Table'!$A615)+2,SEARCH(",",'Special Help Table'!$A615,SEARCH(";",'Special Help Table'!$A615))-SEARCH(";",'Special Help Table'!$A615)-2),AND(LEN('Special Help Table'!$A615)-LEN(SUBSTITUTE('Special Help Table'!$A615,"and ",""))=0,LEN('Special Help Table'!$A615)-LEN(SUBSTITUTE('Special Help Table'!$A615,";",""))=0),'Special Help Table'!$A615,AND(LEN('Special Help Table'!$A615)-LEN(SUBSTITUTE('Special Help Table'!$A615,",","")=1),LEN('Special Help Table'!$A615)-LEN(SUBSTITUTE('Special Help Table'!$A615," ","")=20),LEN('Special Help Table'!$A615)-LEN(SUBSTITUTE('Special Help Table'!$A615," and",""))=0,LEN('Special Help Table'!$A615)-LEN(SUBSTITUTE('Special Help Table'!$A615,",","",FIND(" ",'Special Help Table'!$A615)+1))=0),RIGHT('Special Help Table'!$A615,LEN('Special Help Table'!$A615)-FIND(", ",'Special Help Table'!$A615))&amp;" "&amp;LEFT('Special Help Table'!$A615,FIND(",",'Special Help Table'!$A615)-1),AND(LEN('Special Help Table'!$A615)-LEN(SUBSTITUTE('Special Help Table'!$A615,"editor",""))=6,LEN('Special Help Table'!$A615)-LEN(SUBSTITUTE('Special Help Table'!$A615,"(",""))=0,LEN('Special Help Table'!$A615)-LEN(SUBSTITUTE('Special Help Table'!$A615,"and",""))=3,LEN('Special Help Table'!$A615)-LEN(SUBSTITUTE('Special Help Table'!$A615,",",""))=1,LEN('Special Help Table'!$A615)-LEN(SUBSTITUTE('Special Help Table'!$A615," ",""))=3),'Special Help Table'!$A615)</f>
        <v xml:space="preserve"> Michael Reeves</v>
      </c>
      <c r="C615" s="4" t="s">
        <v>1155</v>
      </c>
      <c r="D615" s="2"/>
      <c r="E615" s="2" t="s">
        <v>16</v>
      </c>
      <c r="F615" s="2" t="s">
        <v>28</v>
      </c>
      <c r="G615" s="2"/>
      <c r="H615" s="2"/>
      <c r="I615" s="2"/>
      <c r="J615" s="2"/>
      <c r="K615" s="3">
        <v>41287</v>
      </c>
      <c r="L615" s="2"/>
      <c r="M615" s="2"/>
      <c r="N615" s="2" t="s">
        <v>18</v>
      </c>
    </row>
    <row r="616" spans="1:14" ht="15.75" customHeight="1" x14ac:dyDescent="0.35">
      <c r="A616" s="2" t="s">
        <v>1154</v>
      </c>
      <c r="B616" s="2" t="str" cm="1">
        <f t="array" ref="B616">_xlfn.IFS(AND(LEN('Special Help Table'!$A616)-(LEN(SUBSTITUTE('Special Help Table'!$A616,";","")))=0,LEN('Special Help Table'!$A616)-LEN(SUBSTITUTE('Special Help Table'!$A616,",",""))=1,LEN('Special Help Table'!$A616)-LEN(SUBSTITUTE('Special Help Table'!$A616,"and ",""))=0),MID('Special Help Table'!$A616&amp;" "&amp;'Special Help Table'!$A616,SEARCH(", ",'Special Help Table'!$A616)+1,LEN('Special Help Table'!$A616)),AND(LEN('Special Help Table'!$A616)-(LEN(SUBSTITUTE('Special Help Table'!$A616,";","")))=1,LEN('Special Help Table'!$A616)-LEN(SUBSTITUTE('Special Help Table'!$A616,"and ",""))=0),MID('Special Help Table'!$A616,SEARCH(",",'Special Help Table'!$A616)+1,(SEARCH(";",'Special Help Table'!$A616)-1)-SEARCH(",",'Special Help Table'!$A616))&amp;" "&amp;LEFT('Special Help Table'!$A616,SEARCH(",",'Special Help Table'!$A616)-1)&amp;";"&amp;RIGHT('Special Help Table'!$A616,LEN('Special Help Table'!$A616)-SEARCH(",",'Special Help Table'!$A616,SEARCH(";",'Special Help Table'!$A616)))&amp;" "&amp;MID('Special Help Table'!$A616,SEARCH("; ",'Special Help Table'!$A616)+2,SEARCH(",",'Special Help Table'!$A616,SEARCH(";",'Special Help Table'!$A616))-SEARCH(";",'Special Help Table'!$A616)-2),AND(LEN('Special Help Table'!$A616)-LEN(SUBSTITUTE('Special Help Table'!$A616,"and ",""))=0,LEN('Special Help Table'!$A616)-LEN(SUBSTITUTE('Special Help Table'!$A616,";",""))=0),'Special Help Table'!$A616,AND(LEN('Special Help Table'!$A616)-LEN(SUBSTITUTE('Special Help Table'!$A616,",","")=1),LEN('Special Help Table'!$A616)-LEN(SUBSTITUTE('Special Help Table'!$A616," ","")=20),LEN('Special Help Table'!$A616)-LEN(SUBSTITUTE('Special Help Table'!$A616," and",""))=0,LEN('Special Help Table'!$A616)-LEN(SUBSTITUTE('Special Help Table'!$A616,",","",FIND(" ",'Special Help Table'!$A616)+1))=0),RIGHT('Special Help Table'!$A616,LEN('Special Help Table'!$A616)-FIND(", ",'Special Help Table'!$A616))&amp;" "&amp;LEFT('Special Help Table'!$A616,FIND(",",'Special Help Table'!$A616)-1),AND(LEN('Special Help Table'!$A616)-LEN(SUBSTITUTE('Special Help Table'!$A616,"editor",""))=6,LEN('Special Help Table'!$A616)-LEN(SUBSTITUTE('Special Help Table'!$A616,"(",""))=0,LEN('Special Help Table'!$A616)-LEN(SUBSTITUTE('Special Help Table'!$A616,"and",""))=3,LEN('Special Help Table'!$A616)-LEN(SUBSTITUTE('Special Help Table'!$A616,",",""))=1,LEN('Special Help Table'!$A616)-LEN(SUBSTITUTE('Special Help Table'!$A616," ",""))=3),'Special Help Table'!$A616)</f>
        <v xml:space="preserve"> Michael Reeves</v>
      </c>
      <c r="C616" s="4" t="s">
        <v>1156</v>
      </c>
      <c r="D616" s="2"/>
      <c r="E616" s="2" t="s">
        <v>16</v>
      </c>
      <c r="F616" s="2" t="s">
        <v>28</v>
      </c>
      <c r="G616" s="2"/>
      <c r="H616" s="2"/>
      <c r="I616" s="2"/>
      <c r="J616" s="2" t="s">
        <v>449</v>
      </c>
      <c r="K616" s="3">
        <v>44772</v>
      </c>
      <c r="L616" s="2"/>
      <c r="M616" s="2"/>
      <c r="N616" s="2" t="s">
        <v>18</v>
      </c>
    </row>
    <row r="617" spans="1:14" ht="15.75" customHeight="1" x14ac:dyDescent="0.35">
      <c r="A617" s="2" t="s">
        <v>1154</v>
      </c>
      <c r="B617" s="2" t="str" cm="1">
        <f t="array" ref="B617">_xlfn.IFS(AND(LEN('Special Help Table'!$A617)-(LEN(SUBSTITUTE('Special Help Table'!$A617,";","")))=0,LEN('Special Help Table'!$A617)-LEN(SUBSTITUTE('Special Help Table'!$A617,",",""))=1,LEN('Special Help Table'!$A617)-LEN(SUBSTITUTE('Special Help Table'!$A617,"and ",""))=0),MID('Special Help Table'!$A617&amp;" "&amp;'Special Help Table'!$A617,SEARCH(", ",'Special Help Table'!$A617)+1,LEN('Special Help Table'!$A617)),AND(LEN('Special Help Table'!$A617)-(LEN(SUBSTITUTE('Special Help Table'!$A617,";","")))=1,LEN('Special Help Table'!$A617)-LEN(SUBSTITUTE('Special Help Table'!$A617,"and ",""))=0),MID('Special Help Table'!$A617,SEARCH(",",'Special Help Table'!$A617)+1,(SEARCH(";",'Special Help Table'!$A617)-1)-SEARCH(",",'Special Help Table'!$A617))&amp;" "&amp;LEFT('Special Help Table'!$A617,SEARCH(",",'Special Help Table'!$A617)-1)&amp;";"&amp;RIGHT('Special Help Table'!$A617,LEN('Special Help Table'!$A617)-SEARCH(",",'Special Help Table'!$A617,SEARCH(";",'Special Help Table'!$A617)))&amp;" "&amp;MID('Special Help Table'!$A617,SEARCH("; ",'Special Help Table'!$A617)+2,SEARCH(",",'Special Help Table'!$A617,SEARCH(";",'Special Help Table'!$A617))-SEARCH(";",'Special Help Table'!$A617)-2),AND(LEN('Special Help Table'!$A617)-LEN(SUBSTITUTE('Special Help Table'!$A617,"and ",""))=0,LEN('Special Help Table'!$A617)-LEN(SUBSTITUTE('Special Help Table'!$A617,";",""))=0),'Special Help Table'!$A617,AND(LEN('Special Help Table'!$A617)-LEN(SUBSTITUTE('Special Help Table'!$A617,",","")=1),LEN('Special Help Table'!$A617)-LEN(SUBSTITUTE('Special Help Table'!$A617," ","")=20),LEN('Special Help Table'!$A617)-LEN(SUBSTITUTE('Special Help Table'!$A617," and",""))=0,LEN('Special Help Table'!$A617)-LEN(SUBSTITUTE('Special Help Table'!$A617,",","",FIND(" ",'Special Help Table'!$A617)+1))=0),RIGHT('Special Help Table'!$A617,LEN('Special Help Table'!$A617)-FIND(", ",'Special Help Table'!$A617))&amp;" "&amp;LEFT('Special Help Table'!$A617,FIND(",",'Special Help Table'!$A617)-1),AND(LEN('Special Help Table'!$A617)-LEN(SUBSTITUTE('Special Help Table'!$A617,"editor",""))=6,LEN('Special Help Table'!$A617)-LEN(SUBSTITUTE('Special Help Table'!$A617,"(",""))=0,LEN('Special Help Table'!$A617)-LEN(SUBSTITUTE('Special Help Table'!$A617,"and",""))=3,LEN('Special Help Table'!$A617)-LEN(SUBSTITUTE('Special Help Table'!$A617,",",""))=1,LEN('Special Help Table'!$A617)-LEN(SUBSTITUTE('Special Help Table'!$A617," ",""))=3),'Special Help Table'!$A617)</f>
        <v xml:space="preserve"> Michael Reeves</v>
      </c>
      <c r="C617" s="4" t="s">
        <v>1157</v>
      </c>
      <c r="D617" s="2"/>
      <c r="E617" s="2" t="s">
        <v>16</v>
      </c>
      <c r="F617" s="2" t="s">
        <v>36</v>
      </c>
      <c r="G617" s="2"/>
      <c r="H617" s="2"/>
      <c r="I617" s="2"/>
      <c r="J617" s="2"/>
      <c r="K617" s="3">
        <v>44240</v>
      </c>
      <c r="L617" s="2"/>
      <c r="M617" s="2"/>
      <c r="N617" s="2" t="s">
        <v>18</v>
      </c>
    </row>
    <row r="618" spans="1:14" ht="15.75" customHeight="1" x14ac:dyDescent="0.35">
      <c r="A618" s="2" t="s">
        <v>1158</v>
      </c>
      <c r="B618" s="2" t="str" cm="1">
        <f t="array" ref="B618">_xlfn.IFS(AND(LEN('Special Help Table'!$A618)-(LEN(SUBSTITUTE('Special Help Table'!$A618,";","")))=0,LEN('Special Help Table'!$A618)-LEN(SUBSTITUTE('Special Help Table'!$A618,",",""))=1,LEN('Special Help Table'!$A618)-LEN(SUBSTITUTE('Special Help Table'!$A618,"and ",""))=0),MID('Special Help Table'!$A618&amp;" "&amp;'Special Help Table'!$A618,SEARCH(", ",'Special Help Table'!$A618)+1,LEN('Special Help Table'!$A618)),AND(LEN('Special Help Table'!$A618)-(LEN(SUBSTITUTE('Special Help Table'!$A618,";","")))=1,LEN('Special Help Table'!$A618)-LEN(SUBSTITUTE('Special Help Table'!$A618,"and ",""))=0),MID('Special Help Table'!$A618,SEARCH(",",'Special Help Table'!$A618)+1,(SEARCH(";",'Special Help Table'!$A618)-1)-SEARCH(",",'Special Help Table'!$A618))&amp;" "&amp;LEFT('Special Help Table'!$A618,SEARCH(",",'Special Help Table'!$A618)-1)&amp;";"&amp;RIGHT('Special Help Table'!$A618,LEN('Special Help Table'!$A618)-SEARCH(",",'Special Help Table'!$A618,SEARCH(";",'Special Help Table'!$A618)))&amp;" "&amp;MID('Special Help Table'!$A618,SEARCH("; ",'Special Help Table'!$A618)+2,SEARCH(",",'Special Help Table'!$A618,SEARCH(";",'Special Help Table'!$A618))-SEARCH(";",'Special Help Table'!$A618)-2),AND(LEN('Special Help Table'!$A618)-LEN(SUBSTITUTE('Special Help Table'!$A618,"and ",""))=0,LEN('Special Help Table'!$A618)-LEN(SUBSTITUTE('Special Help Table'!$A618,";",""))=0),'Special Help Table'!$A618,AND(LEN('Special Help Table'!$A618)-LEN(SUBSTITUTE('Special Help Table'!$A618,",","")=1),LEN('Special Help Table'!$A618)-LEN(SUBSTITUTE('Special Help Table'!$A618," ","")=20),LEN('Special Help Table'!$A618)-LEN(SUBSTITUTE('Special Help Table'!$A618," and",""))=0,LEN('Special Help Table'!$A618)-LEN(SUBSTITUTE('Special Help Table'!$A618,",","",FIND(" ",'Special Help Table'!$A618)+1))=0),RIGHT('Special Help Table'!$A618,LEN('Special Help Table'!$A618)-FIND(", ",'Special Help Table'!$A618))&amp;" "&amp;LEFT('Special Help Table'!$A618,FIND(",",'Special Help Table'!$A618)-1),AND(LEN('Special Help Table'!$A618)-LEN(SUBSTITUTE('Special Help Table'!$A618,"editor",""))=6,LEN('Special Help Table'!$A618)-LEN(SUBSTITUTE('Special Help Table'!$A618,"(",""))=0,LEN('Special Help Table'!$A618)-LEN(SUBSTITUTE('Special Help Table'!$A618,"and",""))=3,LEN('Special Help Table'!$A618)-LEN(SUBSTITUTE('Special Help Table'!$A618,",",""))=1,LEN('Special Help Table'!$A618)-LEN(SUBSTITUTE('Special Help Table'!$A618," ",""))=3),'Special Help Table'!$A618)</f>
        <v xml:space="preserve"> Tony Reinke</v>
      </c>
      <c r="C618" s="4" t="s">
        <v>1159</v>
      </c>
      <c r="D618" s="2"/>
      <c r="E618" s="2" t="s">
        <v>16</v>
      </c>
      <c r="F618" s="2" t="s">
        <v>36</v>
      </c>
      <c r="G618" s="2" t="s">
        <v>17</v>
      </c>
      <c r="H618" s="2"/>
      <c r="I618" s="2"/>
      <c r="J618" s="2" t="s">
        <v>369</v>
      </c>
      <c r="K618" s="3">
        <v>42966</v>
      </c>
      <c r="L618" s="2"/>
      <c r="M618" s="2"/>
      <c r="N618" s="2" t="s">
        <v>18</v>
      </c>
    </row>
    <row r="619" spans="1:14" ht="15.75" customHeight="1" x14ac:dyDescent="0.35">
      <c r="A619" s="2" t="s">
        <v>1158</v>
      </c>
      <c r="B619" s="2" t="str" cm="1">
        <f t="array" ref="B619">_xlfn.IFS(AND(LEN('Special Help Table'!$A619)-(LEN(SUBSTITUTE('Special Help Table'!$A619,";","")))=0,LEN('Special Help Table'!$A619)-LEN(SUBSTITUTE('Special Help Table'!$A619,",",""))=1,LEN('Special Help Table'!$A619)-LEN(SUBSTITUTE('Special Help Table'!$A619,"and ",""))=0),MID('Special Help Table'!$A619&amp;" "&amp;'Special Help Table'!$A619,SEARCH(", ",'Special Help Table'!$A619)+1,LEN('Special Help Table'!$A619)),AND(LEN('Special Help Table'!$A619)-(LEN(SUBSTITUTE('Special Help Table'!$A619,";","")))=1,LEN('Special Help Table'!$A619)-LEN(SUBSTITUTE('Special Help Table'!$A619,"and ",""))=0),MID('Special Help Table'!$A619,SEARCH(",",'Special Help Table'!$A619)+1,(SEARCH(";",'Special Help Table'!$A619)-1)-SEARCH(",",'Special Help Table'!$A619))&amp;" "&amp;LEFT('Special Help Table'!$A619,SEARCH(",",'Special Help Table'!$A619)-1)&amp;";"&amp;RIGHT('Special Help Table'!$A619,LEN('Special Help Table'!$A619)-SEARCH(",",'Special Help Table'!$A619,SEARCH(";",'Special Help Table'!$A619)))&amp;" "&amp;MID('Special Help Table'!$A619,SEARCH("; ",'Special Help Table'!$A619)+2,SEARCH(",",'Special Help Table'!$A619,SEARCH(";",'Special Help Table'!$A619))-SEARCH(";",'Special Help Table'!$A619)-2),AND(LEN('Special Help Table'!$A619)-LEN(SUBSTITUTE('Special Help Table'!$A619,"and ",""))=0,LEN('Special Help Table'!$A619)-LEN(SUBSTITUTE('Special Help Table'!$A619,";",""))=0),'Special Help Table'!$A619,AND(LEN('Special Help Table'!$A619)-LEN(SUBSTITUTE('Special Help Table'!$A619,",","")=1),LEN('Special Help Table'!$A619)-LEN(SUBSTITUTE('Special Help Table'!$A619," ","")=20),LEN('Special Help Table'!$A619)-LEN(SUBSTITUTE('Special Help Table'!$A619," and",""))=0,LEN('Special Help Table'!$A619)-LEN(SUBSTITUTE('Special Help Table'!$A619,",","",FIND(" ",'Special Help Table'!$A619)+1))=0),RIGHT('Special Help Table'!$A619,LEN('Special Help Table'!$A619)-FIND(", ",'Special Help Table'!$A619))&amp;" "&amp;LEFT('Special Help Table'!$A619,FIND(",",'Special Help Table'!$A619)-1),AND(LEN('Special Help Table'!$A619)-LEN(SUBSTITUTE('Special Help Table'!$A619,"editor",""))=6,LEN('Special Help Table'!$A619)-LEN(SUBSTITUTE('Special Help Table'!$A619,"(",""))=0,LEN('Special Help Table'!$A619)-LEN(SUBSTITUTE('Special Help Table'!$A619,"and",""))=3,LEN('Special Help Table'!$A619)-LEN(SUBSTITUTE('Special Help Table'!$A619,",",""))=1,LEN('Special Help Table'!$A619)-LEN(SUBSTITUTE('Special Help Table'!$A619," ",""))=3),'Special Help Table'!$A619)</f>
        <v xml:space="preserve"> Tony Reinke</v>
      </c>
      <c r="C619" s="4" t="s">
        <v>1160</v>
      </c>
      <c r="D619" s="2"/>
      <c r="E619" s="2" t="s">
        <v>16</v>
      </c>
      <c r="F619" s="2" t="s">
        <v>17</v>
      </c>
      <c r="G619" s="2"/>
      <c r="H619" s="2"/>
      <c r="I619" s="2"/>
      <c r="J619" s="2" t="s">
        <v>1161</v>
      </c>
      <c r="K619" s="3">
        <v>44423</v>
      </c>
      <c r="L619" s="2"/>
      <c r="M619" s="2"/>
      <c r="N619" s="2" t="s">
        <v>18</v>
      </c>
    </row>
    <row r="620" spans="1:14" ht="15.75" customHeight="1" x14ac:dyDescent="0.35">
      <c r="A620" s="2" t="s">
        <v>1158</v>
      </c>
      <c r="B620" s="2" t="str" cm="1">
        <f t="array" ref="B620">_xlfn.IFS(AND(LEN('Special Help Table'!$A620)-(LEN(SUBSTITUTE('Special Help Table'!$A620,";","")))=0,LEN('Special Help Table'!$A620)-LEN(SUBSTITUTE('Special Help Table'!$A620,",",""))=1,LEN('Special Help Table'!$A620)-LEN(SUBSTITUTE('Special Help Table'!$A620,"and ",""))=0),MID('Special Help Table'!$A620&amp;" "&amp;'Special Help Table'!$A620,SEARCH(", ",'Special Help Table'!$A620)+1,LEN('Special Help Table'!$A620)),AND(LEN('Special Help Table'!$A620)-(LEN(SUBSTITUTE('Special Help Table'!$A620,";","")))=1,LEN('Special Help Table'!$A620)-LEN(SUBSTITUTE('Special Help Table'!$A620,"and ",""))=0),MID('Special Help Table'!$A620,SEARCH(",",'Special Help Table'!$A620)+1,(SEARCH(";",'Special Help Table'!$A620)-1)-SEARCH(",",'Special Help Table'!$A620))&amp;" "&amp;LEFT('Special Help Table'!$A620,SEARCH(",",'Special Help Table'!$A620)-1)&amp;";"&amp;RIGHT('Special Help Table'!$A620,LEN('Special Help Table'!$A620)-SEARCH(",",'Special Help Table'!$A620,SEARCH(";",'Special Help Table'!$A620)))&amp;" "&amp;MID('Special Help Table'!$A620,SEARCH("; ",'Special Help Table'!$A620)+2,SEARCH(",",'Special Help Table'!$A620,SEARCH(";",'Special Help Table'!$A620))-SEARCH(";",'Special Help Table'!$A620)-2),AND(LEN('Special Help Table'!$A620)-LEN(SUBSTITUTE('Special Help Table'!$A620,"and ",""))=0,LEN('Special Help Table'!$A620)-LEN(SUBSTITUTE('Special Help Table'!$A620,";",""))=0),'Special Help Table'!$A620,AND(LEN('Special Help Table'!$A620)-LEN(SUBSTITUTE('Special Help Table'!$A620,",","")=1),LEN('Special Help Table'!$A620)-LEN(SUBSTITUTE('Special Help Table'!$A620," ","")=20),LEN('Special Help Table'!$A620)-LEN(SUBSTITUTE('Special Help Table'!$A620," and",""))=0,LEN('Special Help Table'!$A620)-LEN(SUBSTITUTE('Special Help Table'!$A620,",","",FIND(" ",'Special Help Table'!$A620)+1))=0),RIGHT('Special Help Table'!$A620,LEN('Special Help Table'!$A620)-FIND(", ",'Special Help Table'!$A620))&amp;" "&amp;LEFT('Special Help Table'!$A620,FIND(",",'Special Help Table'!$A620)-1),AND(LEN('Special Help Table'!$A620)-LEN(SUBSTITUTE('Special Help Table'!$A620,"editor",""))=6,LEN('Special Help Table'!$A620)-LEN(SUBSTITUTE('Special Help Table'!$A620,"(",""))=0,LEN('Special Help Table'!$A620)-LEN(SUBSTITUTE('Special Help Table'!$A620,"and",""))=3,LEN('Special Help Table'!$A620)-LEN(SUBSTITUTE('Special Help Table'!$A620,",",""))=1,LEN('Special Help Table'!$A620)-LEN(SUBSTITUTE('Special Help Table'!$A620," ",""))=3),'Special Help Table'!$A620)</f>
        <v xml:space="preserve"> Tony Reinke</v>
      </c>
      <c r="C620" s="4" t="s">
        <v>1162</v>
      </c>
      <c r="D620" s="2"/>
      <c r="E620" s="2" t="s">
        <v>16</v>
      </c>
      <c r="F620" s="2" t="s">
        <v>20</v>
      </c>
      <c r="G620" s="2"/>
      <c r="H620" s="2"/>
      <c r="I620" s="2"/>
      <c r="J620" s="2" t="s">
        <v>167</v>
      </c>
      <c r="K620" s="3">
        <v>44772</v>
      </c>
      <c r="L620" s="2"/>
      <c r="M620" s="2"/>
      <c r="N620" s="2" t="s">
        <v>18</v>
      </c>
    </row>
    <row r="621" spans="1:14" ht="15.75" customHeight="1" x14ac:dyDescent="0.35">
      <c r="A621" s="2" t="s">
        <v>1163</v>
      </c>
      <c r="B621" s="2" t="str" cm="1">
        <f t="array" ref="B621">_xlfn.IFS(AND(LEN('Special Help Table'!$A621)-(LEN(SUBSTITUTE('Special Help Table'!$A621,";","")))=0,LEN('Special Help Table'!$A621)-LEN(SUBSTITUTE('Special Help Table'!$A621,",",""))=1,LEN('Special Help Table'!$A621)-LEN(SUBSTITUTE('Special Help Table'!$A621,"and ",""))=0),MID('Special Help Table'!$A621&amp;" "&amp;'Special Help Table'!$A621,SEARCH(", ",'Special Help Table'!$A621)+1,LEN('Special Help Table'!$A621)),AND(LEN('Special Help Table'!$A621)-(LEN(SUBSTITUTE('Special Help Table'!$A621,";","")))=1,LEN('Special Help Table'!$A621)-LEN(SUBSTITUTE('Special Help Table'!$A621,"and ",""))=0),MID('Special Help Table'!$A621,SEARCH(",",'Special Help Table'!$A621)+1,(SEARCH(";",'Special Help Table'!$A621)-1)-SEARCH(",",'Special Help Table'!$A621))&amp;" "&amp;LEFT('Special Help Table'!$A621,SEARCH(",",'Special Help Table'!$A621)-1)&amp;";"&amp;RIGHT('Special Help Table'!$A621,LEN('Special Help Table'!$A621)-SEARCH(",",'Special Help Table'!$A621,SEARCH(";",'Special Help Table'!$A621)))&amp;" "&amp;MID('Special Help Table'!$A621,SEARCH("; ",'Special Help Table'!$A621)+2,SEARCH(",",'Special Help Table'!$A621,SEARCH(";",'Special Help Table'!$A621))-SEARCH(";",'Special Help Table'!$A621)-2),AND(LEN('Special Help Table'!$A621)-LEN(SUBSTITUTE('Special Help Table'!$A621,"and ",""))=0,LEN('Special Help Table'!$A621)-LEN(SUBSTITUTE('Special Help Table'!$A621,";",""))=0),'Special Help Table'!$A621,AND(LEN('Special Help Table'!$A621)-LEN(SUBSTITUTE('Special Help Table'!$A621,",","")=1),LEN('Special Help Table'!$A621)-LEN(SUBSTITUTE('Special Help Table'!$A621," ","")=20),LEN('Special Help Table'!$A621)-LEN(SUBSTITUTE('Special Help Table'!$A621," and",""))=0,LEN('Special Help Table'!$A621)-LEN(SUBSTITUTE('Special Help Table'!$A621,",","",FIND(" ",'Special Help Table'!$A621)+1))=0),RIGHT('Special Help Table'!$A621,LEN('Special Help Table'!$A621)-FIND(", ",'Special Help Table'!$A621))&amp;" "&amp;LEFT('Special Help Table'!$A621,FIND(",",'Special Help Table'!$A621)-1),AND(LEN('Special Help Table'!$A621)-LEN(SUBSTITUTE('Special Help Table'!$A621,"editor",""))=6,LEN('Special Help Table'!$A621)-LEN(SUBSTITUTE('Special Help Table'!$A621,"(",""))=0,LEN('Special Help Table'!$A621)-LEN(SUBSTITUTE('Special Help Table'!$A621,"and",""))=3,LEN('Special Help Table'!$A621)-LEN(SUBSTITUTE('Special Help Table'!$A621,",",""))=1,LEN('Special Help Table'!$A621)-LEN(SUBSTITUTE('Special Help Table'!$A621," ",""))=3),'Special Help Table'!$A621)</f>
        <v xml:space="preserve"> Courtney Reissig</v>
      </c>
      <c r="C621" s="4" t="s">
        <v>1164</v>
      </c>
      <c r="D621" s="2"/>
      <c r="E621" s="2" t="s">
        <v>16</v>
      </c>
      <c r="F621" s="2" t="s">
        <v>17</v>
      </c>
      <c r="G621" s="2"/>
      <c r="H621" s="2"/>
      <c r="I621" s="2"/>
      <c r="J621" s="2" t="s">
        <v>575</v>
      </c>
      <c r="K621" s="3">
        <v>42705</v>
      </c>
      <c r="L621" s="2"/>
      <c r="M621" s="2"/>
      <c r="N621" s="2" t="s">
        <v>18</v>
      </c>
    </row>
    <row r="622" spans="1:14" ht="15.75" customHeight="1" x14ac:dyDescent="0.35">
      <c r="A622" s="2" t="s">
        <v>1165</v>
      </c>
      <c r="B622" s="2" t="str" cm="1">
        <f t="array" ref="B622">_xlfn.IFS(AND(LEN('Special Help Table'!$A622)-(LEN(SUBSTITUTE('Special Help Table'!$A622,";","")))=0,LEN('Special Help Table'!$A622)-LEN(SUBSTITUTE('Special Help Table'!$A622,",",""))=1,LEN('Special Help Table'!$A622)-LEN(SUBSTITUTE('Special Help Table'!$A622,"and ",""))=0),MID('Special Help Table'!$A622&amp;" "&amp;'Special Help Table'!$A622,SEARCH(", ",'Special Help Table'!$A622)+1,LEN('Special Help Table'!$A622)),AND(LEN('Special Help Table'!$A622)-(LEN(SUBSTITUTE('Special Help Table'!$A622,";","")))=1,LEN('Special Help Table'!$A622)-LEN(SUBSTITUTE('Special Help Table'!$A622,"and ",""))=0),MID('Special Help Table'!$A622,SEARCH(",",'Special Help Table'!$A622)+1,(SEARCH(";",'Special Help Table'!$A622)-1)-SEARCH(",",'Special Help Table'!$A622))&amp;" "&amp;LEFT('Special Help Table'!$A622,SEARCH(",",'Special Help Table'!$A622)-1)&amp;";"&amp;RIGHT('Special Help Table'!$A622,LEN('Special Help Table'!$A622)-SEARCH(",",'Special Help Table'!$A622,SEARCH(";",'Special Help Table'!$A622)))&amp;" "&amp;MID('Special Help Table'!$A622,SEARCH("; ",'Special Help Table'!$A622)+2,SEARCH(",",'Special Help Table'!$A622,SEARCH(";",'Special Help Table'!$A622))-SEARCH(";",'Special Help Table'!$A622)-2),AND(LEN('Special Help Table'!$A622)-LEN(SUBSTITUTE('Special Help Table'!$A622,"and ",""))=0,LEN('Special Help Table'!$A622)-LEN(SUBSTITUTE('Special Help Table'!$A622,";",""))=0),'Special Help Table'!$A622,AND(LEN('Special Help Table'!$A622)-LEN(SUBSTITUTE('Special Help Table'!$A622,",","")=1),LEN('Special Help Table'!$A622)-LEN(SUBSTITUTE('Special Help Table'!$A622," ","")=20),LEN('Special Help Table'!$A622)-LEN(SUBSTITUTE('Special Help Table'!$A622," and",""))=0,LEN('Special Help Table'!$A622)-LEN(SUBSTITUTE('Special Help Table'!$A622,",","",FIND(" ",'Special Help Table'!$A622)+1))=0),RIGHT('Special Help Table'!$A622,LEN('Special Help Table'!$A622)-FIND(", ",'Special Help Table'!$A622))&amp;" "&amp;LEFT('Special Help Table'!$A622,FIND(",",'Special Help Table'!$A622)-1),AND(LEN('Special Help Table'!$A622)-LEN(SUBSTITUTE('Special Help Table'!$A622,"editor",""))=6,LEN('Special Help Table'!$A622)-LEN(SUBSTITUTE('Special Help Table'!$A622,"(",""))=0,LEN('Special Help Table'!$A622)-LEN(SUBSTITUTE('Special Help Table'!$A622,"and",""))=3,LEN('Special Help Table'!$A622)-LEN(SUBSTITUTE('Special Help Table'!$A622,",",""))=1,LEN('Special Help Table'!$A622)-LEN(SUBSTITUTE('Special Help Table'!$A622," ",""))=3),'Special Help Table'!$A622)</f>
        <v xml:space="preserve"> Deepak Reju</v>
      </c>
      <c r="C622" s="4" t="s">
        <v>1166</v>
      </c>
      <c r="D622" s="2"/>
      <c r="E622" s="2" t="s">
        <v>16</v>
      </c>
      <c r="F622" s="2" t="s">
        <v>17</v>
      </c>
      <c r="G622" s="2"/>
      <c r="H622" s="2" t="s">
        <v>401</v>
      </c>
      <c r="I622" s="2"/>
      <c r="J622" s="2" t="s">
        <v>1167</v>
      </c>
      <c r="K622" s="3"/>
      <c r="L622" s="2"/>
      <c r="M622" s="2"/>
      <c r="N622" s="2" t="s">
        <v>18</v>
      </c>
    </row>
    <row r="623" spans="1:14" ht="15.75" customHeight="1" x14ac:dyDescent="0.35">
      <c r="A623" s="2" t="s">
        <v>1168</v>
      </c>
      <c r="B623" s="2" t="str" cm="1">
        <f t="array" ref="B623">_xlfn.IFS(AND(LEN('Special Help Table'!$A623)-(LEN(SUBSTITUTE('Special Help Table'!$A623,";","")))=0,LEN('Special Help Table'!$A623)-LEN(SUBSTITUTE('Special Help Table'!$A623,",",""))=1,LEN('Special Help Table'!$A623)-LEN(SUBSTITUTE('Special Help Table'!$A623,"and ",""))=0),MID('Special Help Table'!$A623&amp;" "&amp;'Special Help Table'!$A623,SEARCH(", ",'Special Help Table'!$A623)+1,LEN('Special Help Table'!$A623)),AND(LEN('Special Help Table'!$A623)-(LEN(SUBSTITUTE('Special Help Table'!$A623,";","")))=1,LEN('Special Help Table'!$A623)-LEN(SUBSTITUTE('Special Help Table'!$A623,"and ",""))=0),MID('Special Help Table'!$A623,SEARCH(",",'Special Help Table'!$A623)+1,(SEARCH(";",'Special Help Table'!$A623)-1)-SEARCH(",",'Special Help Table'!$A623))&amp;" "&amp;LEFT('Special Help Table'!$A623,SEARCH(",",'Special Help Table'!$A623)-1)&amp;";"&amp;RIGHT('Special Help Table'!$A623,LEN('Special Help Table'!$A623)-SEARCH(",",'Special Help Table'!$A623,SEARCH(";",'Special Help Table'!$A623)))&amp;" "&amp;MID('Special Help Table'!$A623,SEARCH("; ",'Special Help Table'!$A623)+2,SEARCH(",",'Special Help Table'!$A623,SEARCH(";",'Special Help Table'!$A623))-SEARCH(";",'Special Help Table'!$A623)-2),AND(LEN('Special Help Table'!$A623)-LEN(SUBSTITUTE('Special Help Table'!$A623,"and ",""))=0,LEN('Special Help Table'!$A623)-LEN(SUBSTITUTE('Special Help Table'!$A623,";",""))=0),'Special Help Table'!$A623,AND(LEN('Special Help Table'!$A623)-LEN(SUBSTITUTE('Special Help Table'!$A623,",","")=1),LEN('Special Help Table'!$A623)-LEN(SUBSTITUTE('Special Help Table'!$A623," ","")=20),LEN('Special Help Table'!$A623)-LEN(SUBSTITUTE('Special Help Table'!$A623," and",""))=0,LEN('Special Help Table'!$A623)-LEN(SUBSTITUTE('Special Help Table'!$A623,",","",FIND(" ",'Special Help Table'!$A623)+1))=0),RIGHT('Special Help Table'!$A623,LEN('Special Help Table'!$A623)-FIND(", ",'Special Help Table'!$A623))&amp;" "&amp;LEFT('Special Help Table'!$A623,FIND(",",'Special Help Table'!$A623)-1),AND(LEN('Special Help Table'!$A623)-LEN(SUBSTITUTE('Special Help Table'!$A623,"editor",""))=6,LEN('Special Help Table'!$A623)-LEN(SUBSTITUTE('Special Help Table'!$A623,"(",""))=0,LEN('Special Help Table'!$A623)-LEN(SUBSTITUTE('Special Help Table'!$A623,"and",""))=3,LEN('Special Help Table'!$A623)-LEN(SUBSTITUTE('Special Help Table'!$A623,",",""))=1,LEN('Special Help Table'!$A623)-LEN(SUBSTITUTE('Special Help Table'!$A623," ",""))=3),'Special Help Table'!$A623)</f>
        <v xml:space="preserve"> Gloria Repp</v>
      </c>
      <c r="C623" s="4" t="s">
        <v>1169</v>
      </c>
      <c r="D623" s="2"/>
      <c r="E623" s="2" t="s">
        <v>16</v>
      </c>
      <c r="F623" s="2" t="s">
        <v>72</v>
      </c>
      <c r="G623" s="2"/>
      <c r="H623" s="2"/>
      <c r="I623" s="2"/>
      <c r="J623" s="2"/>
      <c r="K623" s="3">
        <v>41164</v>
      </c>
      <c r="L623" s="2"/>
      <c r="M623" s="2"/>
      <c r="N623" s="2" t="s">
        <v>18</v>
      </c>
    </row>
    <row r="624" spans="1:14" ht="15.75" customHeight="1" x14ac:dyDescent="0.35">
      <c r="A624" s="2" t="s">
        <v>1168</v>
      </c>
      <c r="B624" s="2" t="str" cm="1">
        <f t="array" ref="B624">_xlfn.IFS(AND(LEN('Special Help Table'!$A624)-(LEN(SUBSTITUTE('Special Help Table'!$A624,";","")))=0,LEN('Special Help Table'!$A624)-LEN(SUBSTITUTE('Special Help Table'!$A624,",",""))=1,LEN('Special Help Table'!$A624)-LEN(SUBSTITUTE('Special Help Table'!$A624,"and ",""))=0),MID('Special Help Table'!$A624&amp;" "&amp;'Special Help Table'!$A624,SEARCH(", ",'Special Help Table'!$A624)+1,LEN('Special Help Table'!$A624)),AND(LEN('Special Help Table'!$A624)-(LEN(SUBSTITUTE('Special Help Table'!$A624,";","")))=1,LEN('Special Help Table'!$A624)-LEN(SUBSTITUTE('Special Help Table'!$A624,"and ",""))=0),MID('Special Help Table'!$A624,SEARCH(",",'Special Help Table'!$A624)+1,(SEARCH(";",'Special Help Table'!$A624)-1)-SEARCH(",",'Special Help Table'!$A624))&amp;" "&amp;LEFT('Special Help Table'!$A624,SEARCH(",",'Special Help Table'!$A624)-1)&amp;";"&amp;RIGHT('Special Help Table'!$A624,LEN('Special Help Table'!$A624)-SEARCH(",",'Special Help Table'!$A624,SEARCH(";",'Special Help Table'!$A624)))&amp;" "&amp;MID('Special Help Table'!$A624,SEARCH("; ",'Special Help Table'!$A624)+2,SEARCH(",",'Special Help Table'!$A624,SEARCH(";",'Special Help Table'!$A624))-SEARCH(";",'Special Help Table'!$A624)-2),AND(LEN('Special Help Table'!$A624)-LEN(SUBSTITUTE('Special Help Table'!$A624,"and ",""))=0,LEN('Special Help Table'!$A624)-LEN(SUBSTITUTE('Special Help Table'!$A624,";",""))=0),'Special Help Table'!$A624,AND(LEN('Special Help Table'!$A624)-LEN(SUBSTITUTE('Special Help Table'!$A624,",","")=1),LEN('Special Help Table'!$A624)-LEN(SUBSTITUTE('Special Help Table'!$A624," ","")=20),LEN('Special Help Table'!$A624)-LEN(SUBSTITUTE('Special Help Table'!$A624," and",""))=0,LEN('Special Help Table'!$A624)-LEN(SUBSTITUTE('Special Help Table'!$A624,",","",FIND(" ",'Special Help Table'!$A624)+1))=0),RIGHT('Special Help Table'!$A624,LEN('Special Help Table'!$A624)-FIND(", ",'Special Help Table'!$A624))&amp;" "&amp;LEFT('Special Help Table'!$A624,FIND(",",'Special Help Table'!$A624)-1),AND(LEN('Special Help Table'!$A624)-LEN(SUBSTITUTE('Special Help Table'!$A624,"editor",""))=6,LEN('Special Help Table'!$A624)-LEN(SUBSTITUTE('Special Help Table'!$A624,"(",""))=0,LEN('Special Help Table'!$A624)-LEN(SUBSTITUTE('Special Help Table'!$A624,"and",""))=3,LEN('Special Help Table'!$A624)-LEN(SUBSTITUTE('Special Help Table'!$A624,",",""))=1,LEN('Special Help Table'!$A624)-LEN(SUBSTITUTE('Special Help Table'!$A624," ",""))=3),'Special Help Table'!$A624)</f>
        <v xml:space="preserve"> Gloria Repp</v>
      </c>
      <c r="C624" s="4" t="s">
        <v>1170</v>
      </c>
      <c r="D624" s="2"/>
      <c r="E624" s="2" t="s">
        <v>16</v>
      </c>
      <c r="F624" s="2" t="s">
        <v>72</v>
      </c>
      <c r="G624" s="2"/>
      <c r="H624" s="2"/>
      <c r="I624" s="2"/>
      <c r="J624" s="2"/>
      <c r="K624" s="3">
        <v>41011</v>
      </c>
      <c r="L624" s="2" t="s">
        <v>331</v>
      </c>
      <c r="M624" s="2"/>
      <c r="N624" s="2" t="s">
        <v>18</v>
      </c>
    </row>
    <row r="625" spans="1:14" ht="15.75" customHeight="1" x14ac:dyDescent="0.35">
      <c r="A625" s="2" t="s">
        <v>1171</v>
      </c>
      <c r="B625" s="2" t="str" cm="1">
        <f t="array" ref="B625">_xlfn.IFS(AND(LEN('Special Help Table'!$A625)-(LEN(SUBSTITUTE('Special Help Table'!$A625,";","")))=0,LEN('Special Help Table'!$A625)-LEN(SUBSTITUTE('Special Help Table'!$A625,",",""))=1,LEN('Special Help Table'!$A625)-LEN(SUBSTITUTE('Special Help Table'!$A625,"and ",""))=0),MID('Special Help Table'!$A625&amp;" "&amp;'Special Help Table'!$A625,SEARCH(", ",'Special Help Table'!$A625)+1,LEN('Special Help Table'!$A625)),AND(LEN('Special Help Table'!$A625)-(LEN(SUBSTITUTE('Special Help Table'!$A625,";","")))=1,LEN('Special Help Table'!$A625)-LEN(SUBSTITUTE('Special Help Table'!$A625,"and ",""))=0),MID('Special Help Table'!$A625,SEARCH(",",'Special Help Table'!$A625)+1,(SEARCH(";",'Special Help Table'!$A625)-1)-SEARCH(",",'Special Help Table'!$A625))&amp;" "&amp;LEFT('Special Help Table'!$A625,SEARCH(",",'Special Help Table'!$A625)-1)&amp;";"&amp;RIGHT('Special Help Table'!$A625,LEN('Special Help Table'!$A625)-SEARCH(",",'Special Help Table'!$A625,SEARCH(";",'Special Help Table'!$A625)))&amp;" "&amp;MID('Special Help Table'!$A625,SEARCH("; ",'Special Help Table'!$A625)+2,SEARCH(",",'Special Help Table'!$A625,SEARCH(";",'Special Help Table'!$A625))-SEARCH(";",'Special Help Table'!$A625)-2),AND(LEN('Special Help Table'!$A625)-LEN(SUBSTITUTE('Special Help Table'!$A625,"and ",""))=0,LEN('Special Help Table'!$A625)-LEN(SUBSTITUTE('Special Help Table'!$A625,";",""))=0),'Special Help Table'!$A625,AND(LEN('Special Help Table'!$A625)-LEN(SUBSTITUTE('Special Help Table'!$A625,",","")=1),LEN('Special Help Table'!$A625)-LEN(SUBSTITUTE('Special Help Table'!$A625," ","")=20),LEN('Special Help Table'!$A625)-LEN(SUBSTITUTE('Special Help Table'!$A625," and",""))=0,LEN('Special Help Table'!$A625)-LEN(SUBSTITUTE('Special Help Table'!$A625,",","",FIND(" ",'Special Help Table'!$A625)+1))=0),RIGHT('Special Help Table'!$A625,LEN('Special Help Table'!$A625)-FIND(", ",'Special Help Table'!$A625))&amp;" "&amp;LEFT('Special Help Table'!$A625,FIND(",",'Special Help Table'!$A625)-1),AND(LEN('Special Help Table'!$A625)-LEN(SUBSTITUTE('Special Help Table'!$A625,"editor",""))=6,LEN('Special Help Table'!$A625)-LEN(SUBSTITUTE('Special Help Table'!$A625,"(",""))=0,LEN('Special Help Table'!$A625)-LEN(SUBSTITUTE('Special Help Table'!$A625,"and",""))=3,LEN('Special Help Table'!$A625)-LEN(SUBSTITUTE('Special Help Table'!$A625,",",""))=1,LEN('Special Help Table'!$A625)-LEN(SUBSTITUTE('Special Help Table'!$A625," ",""))=3),'Special Help Table'!$A625)</f>
        <v xml:space="preserve"> Matt Rhodes</v>
      </c>
      <c r="C625" s="4" t="s">
        <v>1172</v>
      </c>
      <c r="D625" s="2" t="s">
        <v>307</v>
      </c>
      <c r="E625" s="2" t="s">
        <v>16</v>
      </c>
      <c r="F625" s="2" t="s">
        <v>126</v>
      </c>
      <c r="G625" s="2"/>
      <c r="H625" s="2"/>
      <c r="I625" s="2"/>
      <c r="J625" s="2" t="s">
        <v>359</v>
      </c>
      <c r="K625" s="3">
        <v>44772</v>
      </c>
      <c r="L625" s="2"/>
      <c r="M625" s="2"/>
      <c r="N625" s="2" t="s">
        <v>18</v>
      </c>
    </row>
    <row r="626" spans="1:14" ht="15.75" customHeight="1" x14ac:dyDescent="0.35">
      <c r="A626" s="2" t="s">
        <v>1173</v>
      </c>
      <c r="B626" s="2" t="str" cm="1">
        <f t="array" ref="B626">_xlfn.IFS(AND(LEN('Special Help Table'!$A626)-(LEN(SUBSTITUTE('Special Help Table'!$A626,";","")))=0,LEN('Special Help Table'!$A626)-LEN(SUBSTITUTE('Special Help Table'!$A626,",",""))=1,LEN('Special Help Table'!$A626)-LEN(SUBSTITUTE('Special Help Table'!$A626,"and ",""))=0),MID('Special Help Table'!$A626&amp;" "&amp;'Special Help Table'!$A626,SEARCH(", ",'Special Help Table'!$A626)+1,LEN('Special Help Table'!$A626)),AND(LEN('Special Help Table'!$A626)-(LEN(SUBSTITUTE('Special Help Table'!$A626,";","")))=1,LEN('Special Help Table'!$A626)-LEN(SUBSTITUTE('Special Help Table'!$A626,"and ",""))=0),MID('Special Help Table'!$A626,SEARCH(",",'Special Help Table'!$A626)+1,(SEARCH(";",'Special Help Table'!$A626)-1)-SEARCH(",",'Special Help Table'!$A626))&amp;" "&amp;LEFT('Special Help Table'!$A626,SEARCH(",",'Special Help Table'!$A626)-1)&amp;";"&amp;RIGHT('Special Help Table'!$A626,LEN('Special Help Table'!$A626)-SEARCH(",",'Special Help Table'!$A626,SEARCH(";",'Special Help Table'!$A626)))&amp;" "&amp;MID('Special Help Table'!$A626,SEARCH("; ",'Special Help Table'!$A626)+2,SEARCH(",",'Special Help Table'!$A626,SEARCH(";",'Special Help Table'!$A626))-SEARCH(";",'Special Help Table'!$A626)-2),AND(LEN('Special Help Table'!$A626)-LEN(SUBSTITUTE('Special Help Table'!$A626,"and ",""))=0,LEN('Special Help Table'!$A626)-LEN(SUBSTITUTE('Special Help Table'!$A626,";",""))=0),'Special Help Table'!$A626,AND(LEN('Special Help Table'!$A626)-LEN(SUBSTITUTE('Special Help Table'!$A626,",","")=1),LEN('Special Help Table'!$A626)-LEN(SUBSTITUTE('Special Help Table'!$A626," ","")=20),LEN('Special Help Table'!$A626)-LEN(SUBSTITUTE('Special Help Table'!$A626," and",""))=0,LEN('Special Help Table'!$A626)-LEN(SUBSTITUTE('Special Help Table'!$A626,",","",FIND(" ",'Special Help Table'!$A626)+1))=0),RIGHT('Special Help Table'!$A626,LEN('Special Help Table'!$A626)-FIND(", ",'Special Help Table'!$A626))&amp;" "&amp;LEFT('Special Help Table'!$A626,FIND(",",'Special Help Table'!$A626)-1),AND(LEN('Special Help Table'!$A626)-LEN(SUBSTITUTE('Special Help Table'!$A626,"editor",""))=6,LEN('Special Help Table'!$A626)-LEN(SUBSTITUTE('Special Help Table'!$A626,"(",""))=0,LEN('Special Help Table'!$A626)-LEN(SUBSTITUTE('Special Help Table'!$A626,"and",""))=3,LEN('Special Help Table'!$A626)-LEN(SUBSTITUTE('Special Help Table'!$A626,",",""))=1,LEN('Special Help Table'!$A626)-LEN(SUBSTITUTE('Special Help Table'!$A626," ",""))=3),'Special Help Table'!$A626)</f>
        <v xml:space="preserve"> Gary &amp; Betsy Ricucci</v>
      </c>
      <c r="C626" s="4" t="s">
        <v>1174</v>
      </c>
      <c r="D626" s="2"/>
      <c r="E626" s="2" t="s">
        <v>16</v>
      </c>
      <c r="F626" s="2" t="s">
        <v>17</v>
      </c>
      <c r="G626" s="2"/>
      <c r="H626" s="2"/>
      <c r="I626" s="2"/>
      <c r="J626" s="2" t="s">
        <v>1175</v>
      </c>
      <c r="K626" s="3">
        <v>40247</v>
      </c>
      <c r="L626" s="2"/>
      <c r="M626" s="2"/>
      <c r="N626" s="2" t="s">
        <v>18</v>
      </c>
    </row>
    <row r="627" spans="1:14" ht="15.75" customHeight="1" x14ac:dyDescent="0.35">
      <c r="A627" s="2" t="s">
        <v>1176</v>
      </c>
      <c r="B627" s="2" t="str" cm="1">
        <f t="array" ref="B627">_xlfn.IFS(AND(LEN('Special Help Table'!$A627)-(LEN(SUBSTITUTE('Special Help Table'!$A627,";","")))=0,LEN('Special Help Table'!$A627)-LEN(SUBSTITUTE('Special Help Table'!$A627,",",""))=1,LEN('Special Help Table'!$A627)-LEN(SUBSTITUTE('Special Help Table'!$A627,"and ",""))=0),MID('Special Help Table'!$A627&amp;" "&amp;'Special Help Table'!$A627,SEARCH(", ",'Special Help Table'!$A627)+1,LEN('Special Help Table'!$A627)),AND(LEN('Special Help Table'!$A627)-(LEN(SUBSTITUTE('Special Help Table'!$A627,";","")))=1,LEN('Special Help Table'!$A627)-LEN(SUBSTITUTE('Special Help Table'!$A627,"and ",""))=0),MID('Special Help Table'!$A627,SEARCH(",",'Special Help Table'!$A627)+1,(SEARCH(";",'Special Help Table'!$A627)-1)-SEARCH(",",'Special Help Table'!$A627))&amp;" "&amp;LEFT('Special Help Table'!$A627,SEARCH(",",'Special Help Table'!$A627)-1)&amp;";"&amp;RIGHT('Special Help Table'!$A627,LEN('Special Help Table'!$A627)-SEARCH(",",'Special Help Table'!$A627,SEARCH(";",'Special Help Table'!$A627)))&amp;" "&amp;MID('Special Help Table'!$A627,SEARCH("; ",'Special Help Table'!$A627)+2,SEARCH(",",'Special Help Table'!$A627,SEARCH(";",'Special Help Table'!$A627))-SEARCH(";",'Special Help Table'!$A627)-2),AND(LEN('Special Help Table'!$A627)-LEN(SUBSTITUTE('Special Help Table'!$A627,"and ",""))=0,LEN('Special Help Table'!$A627)-LEN(SUBSTITUTE('Special Help Table'!$A627,";",""))=0),'Special Help Table'!$A627,AND(LEN('Special Help Table'!$A627)-LEN(SUBSTITUTE('Special Help Table'!$A627,",","")=1),LEN('Special Help Table'!$A627)-LEN(SUBSTITUTE('Special Help Table'!$A627," ","")=20),LEN('Special Help Table'!$A627)-LEN(SUBSTITUTE('Special Help Table'!$A627," and",""))=0,LEN('Special Help Table'!$A627)-LEN(SUBSTITUTE('Special Help Table'!$A627,",","",FIND(" ",'Special Help Table'!$A627)+1))=0),RIGHT('Special Help Table'!$A627,LEN('Special Help Table'!$A627)-FIND(", ",'Special Help Table'!$A627))&amp;" "&amp;LEFT('Special Help Table'!$A627,FIND(",",'Special Help Table'!$A627)-1),AND(LEN('Special Help Table'!$A627)-LEN(SUBSTITUTE('Special Help Table'!$A627,"editor",""))=6,LEN('Special Help Table'!$A627)-LEN(SUBSTITUTE('Special Help Table'!$A627,"(",""))=0,LEN('Special Help Table'!$A627)-LEN(SUBSTITUTE('Special Help Table'!$A627,"and",""))=3,LEN('Special Help Table'!$A627)-LEN(SUBSTITUTE('Special Help Table'!$A627,",",""))=1,LEN('Special Help Table'!$A627)-LEN(SUBSTITUTE('Special Help Table'!$A627," ",""))=3),'Special Help Table'!$A627)</f>
        <v xml:space="preserve"> Joe Rigney</v>
      </c>
      <c r="C627" s="4" t="s">
        <v>1177</v>
      </c>
      <c r="D627" s="2"/>
      <c r="E627" s="2" t="s">
        <v>16</v>
      </c>
      <c r="F627" s="2" t="s">
        <v>36</v>
      </c>
      <c r="G627" s="2"/>
      <c r="H627" s="2"/>
      <c r="I627" s="2"/>
      <c r="J627" s="2"/>
      <c r="K627" s="3">
        <v>42139</v>
      </c>
      <c r="L627" s="2"/>
      <c r="M627" s="2"/>
      <c r="N627" s="2" t="s">
        <v>18</v>
      </c>
    </row>
    <row r="628" spans="1:14" ht="15.75" customHeight="1" x14ac:dyDescent="0.35">
      <c r="A628" s="2" t="s">
        <v>1178</v>
      </c>
      <c r="B628" s="2" t="str" cm="1">
        <f t="array" ref="B628">_xlfn.IFS(AND(LEN('Special Help Table'!$A628)-(LEN(SUBSTITUTE('Special Help Table'!$A628,";","")))=0,LEN('Special Help Table'!$A628)-LEN(SUBSTITUTE('Special Help Table'!$A628,",",""))=1,LEN('Special Help Table'!$A628)-LEN(SUBSTITUTE('Special Help Table'!$A628,"and ",""))=0),MID('Special Help Table'!$A628&amp;" "&amp;'Special Help Table'!$A628,SEARCH(", ",'Special Help Table'!$A628)+1,LEN('Special Help Table'!$A628)),AND(LEN('Special Help Table'!$A628)-(LEN(SUBSTITUTE('Special Help Table'!$A628,";","")))=1,LEN('Special Help Table'!$A628)-LEN(SUBSTITUTE('Special Help Table'!$A628,"and ",""))=0),MID('Special Help Table'!$A628,SEARCH(",",'Special Help Table'!$A628)+1,(SEARCH(";",'Special Help Table'!$A628)-1)-SEARCH(",",'Special Help Table'!$A628))&amp;" "&amp;LEFT('Special Help Table'!$A628,SEARCH(",",'Special Help Table'!$A628)-1)&amp;";"&amp;RIGHT('Special Help Table'!$A628,LEN('Special Help Table'!$A628)-SEARCH(",",'Special Help Table'!$A628,SEARCH(";",'Special Help Table'!$A628)))&amp;" "&amp;MID('Special Help Table'!$A628,SEARCH("; ",'Special Help Table'!$A628)+2,SEARCH(",",'Special Help Table'!$A628,SEARCH(";",'Special Help Table'!$A628))-SEARCH(";",'Special Help Table'!$A628)-2),AND(LEN('Special Help Table'!$A628)-LEN(SUBSTITUTE('Special Help Table'!$A628,"and ",""))=0,LEN('Special Help Table'!$A628)-LEN(SUBSTITUTE('Special Help Table'!$A628,";",""))=0),'Special Help Table'!$A628,AND(LEN('Special Help Table'!$A628)-LEN(SUBSTITUTE('Special Help Table'!$A628,",","")=1),LEN('Special Help Table'!$A628)-LEN(SUBSTITUTE('Special Help Table'!$A628," ","")=20),LEN('Special Help Table'!$A628)-LEN(SUBSTITUTE('Special Help Table'!$A628," and",""))=0,LEN('Special Help Table'!$A628)-LEN(SUBSTITUTE('Special Help Table'!$A628,",","",FIND(" ",'Special Help Table'!$A628)+1))=0),RIGHT('Special Help Table'!$A628,LEN('Special Help Table'!$A628)-FIND(", ",'Special Help Table'!$A628))&amp;" "&amp;LEFT('Special Help Table'!$A628,FIND(",",'Special Help Table'!$A628)-1),AND(LEN('Special Help Table'!$A628)-LEN(SUBSTITUTE('Special Help Table'!$A628,"editor",""))=6,LEN('Special Help Table'!$A628)-LEN(SUBSTITUTE('Special Help Table'!$A628,"(",""))=0,LEN('Special Help Table'!$A628)-LEN(SUBSTITUTE('Special Help Table'!$A628,"and",""))=3,LEN('Special Help Table'!$A628)-LEN(SUBSTITUTE('Special Help Table'!$A628,",",""))=1,LEN('Special Help Table'!$A628)-LEN(SUBSTITUTE('Special Help Table'!$A628," ",""))=3),'Special Help Table'!$A628)</f>
        <v xml:space="preserve"> Vaughn Roberts</v>
      </c>
      <c r="C628" s="4" t="s">
        <v>1179</v>
      </c>
      <c r="D628" s="2"/>
      <c r="E628" s="2" t="s">
        <v>16</v>
      </c>
      <c r="F628" s="2" t="s">
        <v>76</v>
      </c>
      <c r="G628" s="2"/>
      <c r="H628" s="2"/>
      <c r="I628" s="2"/>
      <c r="J628" s="2"/>
      <c r="K628" s="3">
        <v>44772</v>
      </c>
      <c r="L628" s="2"/>
      <c r="M628" s="2"/>
      <c r="N628" s="2" t="s">
        <v>18</v>
      </c>
    </row>
    <row r="629" spans="1:14" ht="15.75" customHeight="1" x14ac:dyDescent="0.35">
      <c r="A629" s="2" t="s">
        <v>1180</v>
      </c>
      <c r="B629" s="2" t="str" cm="1">
        <f t="array" ref="B629">_xlfn.IFS(AND(LEN('Special Help Table'!$A629)-(LEN(SUBSTITUTE('Special Help Table'!$A629,";","")))=0,LEN('Special Help Table'!$A629)-LEN(SUBSTITUTE('Special Help Table'!$A629,",",""))=1,LEN('Special Help Table'!$A629)-LEN(SUBSTITUTE('Special Help Table'!$A629,"and ",""))=0),MID('Special Help Table'!$A629&amp;" "&amp;'Special Help Table'!$A629,SEARCH(", ",'Special Help Table'!$A629)+1,LEN('Special Help Table'!$A629)),AND(LEN('Special Help Table'!$A629)-(LEN(SUBSTITUTE('Special Help Table'!$A629,";","")))=1,LEN('Special Help Table'!$A629)-LEN(SUBSTITUTE('Special Help Table'!$A629,"and ",""))=0),MID('Special Help Table'!$A629,SEARCH(",",'Special Help Table'!$A629)+1,(SEARCH(";",'Special Help Table'!$A629)-1)-SEARCH(",",'Special Help Table'!$A629))&amp;" "&amp;LEFT('Special Help Table'!$A629,SEARCH(",",'Special Help Table'!$A629)-1)&amp;";"&amp;RIGHT('Special Help Table'!$A629,LEN('Special Help Table'!$A629)-SEARCH(",",'Special Help Table'!$A629,SEARCH(";",'Special Help Table'!$A629)))&amp;" "&amp;MID('Special Help Table'!$A629,SEARCH("; ",'Special Help Table'!$A629)+2,SEARCH(",",'Special Help Table'!$A629,SEARCH(";",'Special Help Table'!$A629))-SEARCH(";",'Special Help Table'!$A629)-2),AND(LEN('Special Help Table'!$A629)-LEN(SUBSTITUTE('Special Help Table'!$A629,"and ",""))=0,LEN('Special Help Table'!$A629)-LEN(SUBSTITUTE('Special Help Table'!$A629,";",""))=0),'Special Help Table'!$A629,AND(LEN('Special Help Table'!$A629)-LEN(SUBSTITUTE('Special Help Table'!$A629,",","")=1),LEN('Special Help Table'!$A629)-LEN(SUBSTITUTE('Special Help Table'!$A629," ","")=20),LEN('Special Help Table'!$A629)-LEN(SUBSTITUTE('Special Help Table'!$A629," and",""))=0,LEN('Special Help Table'!$A629)-LEN(SUBSTITUTE('Special Help Table'!$A629,",","",FIND(" ",'Special Help Table'!$A629)+1))=0),RIGHT('Special Help Table'!$A629,LEN('Special Help Table'!$A629)-FIND(", ",'Special Help Table'!$A629))&amp;" "&amp;LEFT('Special Help Table'!$A629,FIND(",",'Special Help Table'!$A629)-1),AND(LEN('Special Help Table'!$A629)-LEN(SUBSTITUTE('Special Help Table'!$A629,"editor",""))=6,LEN('Special Help Table'!$A629)-LEN(SUBSTITUTE('Special Help Table'!$A629,"(",""))=0,LEN('Special Help Table'!$A629)-LEN(SUBSTITUTE('Special Help Table'!$A629,"and",""))=3,LEN('Special Help Table'!$A629)-LEN(SUBSTITUTE('Special Help Table'!$A629,",",""))=1,LEN('Special Help Table'!$A629)-LEN(SUBSTITUTE('Special Help Table'!$A629," ",""))=3),'Special Help Table'!$A629)</f>
        <v xml:space="preserve"> Leland Ryken</v>
      </c>
      <c r="C629" s="4" t="s">
        <v>1181</v>
      </c>
      <c r="D629" s="2"/>
      <c r="E629" s="2" t="s">
        <v>16</v>
      </c>
      <c r="F629" s="2" t="s">
        <v>76</v>
      </c>
      <c r="G629" s="2"/>
      <c r="H629" s="2"/>
      <c r="I629" s="2"/>
      <c r="J629" s="2"/>
      <c r="K629" s="3">
        <v>40051</v>
      </c>
      <c r="L629" s="2"/>
      <c r="M629" s="2"/>
      <c r="N629" s="2" t="s">
        <v>18</v>
      </c>
    </row>
    <row r="630" spans="1:14" ht="15.75" customHeight="1" x14ac:dyDescent="0.35">
      <c r="A630" s="2" t="s">
        <v>1180</v>
      </c>
      <c r="B630" s="2" t="str" cm="1">
        <f t="array" ref="B630">_xlfn.IFS(AND(LEN('Special Help Table'!$A630)-(LEN(SUBSTITUTE('Special Help Table'!$A630,";","")))=0,LEN('Special Help Table'!$A630)-LEN(SUBSTITUTE('Special Help Table'!$A630,",",""))=1,LEN('Special Help Table'!$A630)-LEN(SUBSTITUTE('Special Help Table'!$A630,"and ",""))=0),MID('Special Help Table'!$A630&amp;" "&amp;'Special Help Table'!$A630,SEARCH(", ",'Special Help Table'!$A630)+1,LEN('Special Help Table'!$A630)),AND(LEN('Special Help Table'!$A630)-(LEN(SUBSTITUTE('Special Help Table'!$A630,";","")))=1,LEN('Special Help Table'!$A630)-LEN(SUBSTITUTE('Special Help Table'!$A630,"and ",""))=0),MID('Special Help Table'!$A630,SEARCH(",",'Special Help Table'!$A630)+1,(SEARCH(";",'Special Help Table'!$A630)-1)-SEARCH(",",'Special Help Table'!$A630))&amp;" "&amp;LEFT('Special Help Table'!$A630,SEARCH(",",'Special Help Table'!$A630)-1)&amp;";"&amp;RIGHT('Special Help Table'!$A630,LEN('Special Help Table'!$A630)-SEARCH(",",'Special Help Table'!$A630,SEARCH(";",'Special Help Table'!$A630)))&amp;" "&amp;MID('Special Help Table'!$A630,SEARCH("; ",'Special Help Table'!$A630)+2,SEARCH(",",'Special Help Table'!$A630,SEARCH(";",'Special Help Table'!$A630))-SEARCH(";",'Special Help Table'!$A630)-2),AND(LEN('Special Help Table'!$A630)-LEN(SUBSTITUTE('Special Help Table'!$A630,"and ",""))=0,LEN('Special Help Table'!$A630)-LEN(SUBSTITUTE('Special Help Table'!$A630,";",""))=0),'Special Help Table'!$A630,AND(LEN('Special Help Table'!$A630)-LEN(SUBSTITUTE('Special Help Table'!$A630,",","")=1),LEN('Special Help Table'!$A630)-LEN(SUBSTITUTE('Special Help Table'!$A630," ","")=20),LEN('Special Help Table'!$A630)-LEN(SUBSTITUTE('Special Help Table'!$A630," and",""))=0,LEN('Special Help Table'!$A630)-LEN(SUBSTITUTE('Special Help Table'!$A630,",","",FIND(" ",'Special Help Table'!$A630)+1))=0),RIGHT('Special Help Table'!$A630,LEN('Special Help Table'!$A630)-FIND(", ",'Special Help Table'!$A630))&amp;" "&amp;LEFT('Special Help Table'!$A630,FIND(",",'Special Help Table'!$A630)-1),AND(LEN('Special Help Table'!$A630)-LEN(SUBSTITUTE('Special Help Table'!$A630,"editor",""))=6,LEN('Special Help Table'!$A630)-LEN(SUBSTITUTE('Special Help Table'!$A630,"(",""))=0,LEN('Special Help Table'!$A630)-LEN(SUBSTITUTE('Special Help Table'!$A630,"and",""))=3,LEN('Special Help Table'!$A630)-LEN(SUBSTITUTE('Special Help Table'!$A630,",",""))=1,LEN('Special Help Table'!$A630)-LEN(SUBSTITUTE('Special Help Table'!$A630," ",""))=3),'Special Help Table'!$A630)</f>
        <v xml:space="preserve"> Leland Ryken</v>
      </c>
      <c r="C630" s="4" t="s">
        <v>1182</v>
      </c>
      <c r="D630" s="2"/>
      <c r="E630" s="2" t="s">
        <v>16</v>
      </c>
      <c r="F630" s="2" t="s">
        <v>76</v>
      </c>
      <c r="G630" s="2"/>
      <c r="H630" s="2"/>
      <c r="I630" s="2"/>
      <c r="J630" s="2"/>
      <c r="K630" s="3">
        <v>42705</v>
      </c>
      <c r="L630" s="2"/>
      <c r="M630" s="2"/>
      <c r="N630" s="2" t="s">
        <v>18</v>
      </c>
    </row>
    <row r="631" spans="1:14" ht="15.75" customHeight="1" x14ac:dyDescent="0.35">
      <c r="A631" s="2" t="s">
        <v>1183</v>
      </c>
      <c r="B631" s="2" t="str" cm="1">
        <f t="array" ref="B631">_xlfn.IFS(AND(LEN('Special Help Table'!$A631)-(LEN(SUBSTITUTE('Special Help Table'!$A631,";","")))=0,LEN('Special Help Table'!$A631)-LEN(SUBSTITUTE('Special Help Table'!$A631,",",""))=1,LEN('Special Help Table'!$A631)-LEN(SUBSTITUTE('Special Help Table'!$A631,"and ",""))=0),MID('Special Help Table'!$A631&amp;" "&amp;'Special Help Table'!$A631,SEARCH(", ",'Special Help Table'!$A631)+1,LEN('Special Help Table'!$A631)),AND(LEN('Special Help Table'!$A631)-(LEN(SUBSTITUTE('Special Help Table'!$A631,";","")))=1,LEN('Special Help Table'!$A631)-LEN(SUBSTITUTE('Special Help Table'!$A631,"and ",""))=0),MID('Special Help Table'!$A631,SEARCH(",",'Special Help Table'!$A631)+1,(SEARCH(";",'Special Help Table'!$A631)-1)-SEARCH(",",'Special Help Table'!$A631))&amp;" "&amp;LEFT('Special Help Table'!$A631,SEARCH(",",'Special Help Table'!$A631)-1)&amp;";"&amp;RIGHT('Special Help Table'!$A631,LEN('Special Help Table'!$A631)-SEARCH(",",'Special Help Table'!$A631,SEARCH(";",'Special Help Table'!$A631)))&amp;" "&amp;MID('Special Help Table'!$A631,SEARCH("; ",'Special Help Table'!$A631)+2,SEARCH(",",'Special Help Table'!$A631,SEARCH(";",'Special Help Table'!$A631))-SEARCH(";",'Special Help Table'!$A631)-2),AND(LEN('Special Help Table'!$A631)-LEN(SUBSTITUTE('Special Help Table'!$A631,"and ",""))=0,LEN('Special Help Table'!$A631)-LEN(SUBSTITUTE('Special Help Table'!$A631,";",""))=0),'Special Help Table'!$A631,AND(LEN('Special Help Table'!$A631)-LEN(SUBSTITUTE('Special Help Table'!$A631,",","")=1),LEN('Special Help Table'!$A631)-LEN(SUBSTITUTE('Special Help Table'!$A631," ","")=20),LEN('Special Help Table'!$A631)-LEN(SUBSTITUTE('Special Help Table'!$A631," and",""))=0,LEN('Special Help Table'!$A631)-LEN(SUBSTITUTE('Special Help Table'!$A631,",","",FIND(" ",'Special Help Table'!$A631)+1))=0),RIGHT('Special Help Table'!$A631,LEN('Special Help Table'!$A631)-FIND(", ",'Special Help Table'!$A631))&amp;" "&amp;LEFT('Special Help Table'!$A631,FIND(",",'Special Help Table'!$A631)-1),AND(LEN('Special Help Table'!$A631)-LEN(SUBSTITUTE('Special Help Table'!$A631,"editor",""))=6,LEN('Special Help Table'!$A631)-LEN(SUBSTITUTE('Special Help Table'!$A631,"(",""))=0,LEN('Special Help Table'!$A631)-LEN(SUBSTITUTE('Special Help Table'!$A631,"and",""))=3,LEN('Special Help Table'!$A631)-LEN(SUBSTITUTE('Special Help Table'!$A631,",",""))=1,LEN('Special Help Table'!$A631)-LEN(SUBSTITUTE('Special Help Table'!$A631," ",""))=3),'Special Help Table'!$A631)</f>
        <v xml:space="preserve"> Phil Ryken</v>
      </c>
      <c r="C631" s="4" t="s">
        <v>1184</v>
      </c>
      <c r="D631" s="2"/>
      <c r="E631" s="2" t="s">
        <v>16</v>
      </c>
      <c r="F631" s="2" t="s">
        <v>36</v>
      </c>
      <c r="G631" s="2"/>
      <c r="H631" s="2"/>
      <c r="I631" s="2"/>
      <c r="J631" s="2"/>
      <c r="K631" s="3">
        <v>41133</v>
      </c>
      <c r="L631" s="2"/>
      <c r="M631" s="2"/>
      <c r="N631" s="2" t="s">
        <v>18</v>
      </c>
    </row>
    <row r="632" spans="1:14" ht="15.75" customHeight="1" x14ac:dyDescent="0.35">
      <c r="A632" s="2" t="s">
        <v>1183</v>
      </c>
      <c r="B632" s="2" t="str" cm="1">
        <f t="array" ref="B632">_xlfn.IFS(AND(LEN('Special Help Table'!$A632)-(LEN(SUBSTITUTE('Special Help Table'!$A632,";","")))=0,LEN('Special Help Table'!$A632)-LEN(SUBSTITUTE('Special Help Table'!$A632,",",""))=1,LEN('Special Help Table'!$A632)-LEN(SUBSTITUTE('Special Help Table'!$A632,"and ",""))=0),MID('Special Help Table'!$A632&amp;" "&amp;'Special Help Table'!$A632,SEARCH(", ",'Special Help Table'!$A632)+1,LEN('Special Help Table'!$A632)),AND(LEN('Special Help Table'!$A632)-(LEN(SUBSTITUTE('Special Help Table'!$A632,";","")))=1,LEN('Special Help Table'!$A632)-LEN(SUBSTITUTE('Special Help Table'!$A632,"and ",""))=0),MID('Special Help Table'!$A632,SEARCH(",",'Special Help Table'!$A632)+1,(SEARCH(";",'Special Help Table'!$A632)-1)-SEARCH(",",'Special Help Table'!$A632))&amp;" "&amp;LEFT('Special Help Table'!$A632,SEARCH(",",'Special Help Table'!$A632)-1)&amp;";"&amp;RIGHT('Special Help Table'!$A632,LEN('Special Help Table'!$A632)-SEARCH(",",'Special Help Table'!$A632,SEARCH(";",'Special Help Table'!$A632)))&amp;" "&amp;MID('Special Help Table'!$A632,SEARCH("; ",'Special Help Table'!$A632)+2,SEARCH(",",'Special Help Table'!$A632,SEARCH(";",'Special Help Table'!$A632))-SEARCH(";",'Special Help Table'!$A632)-2),AND(LEN('Special Help Table'!$A632)-LEN(SUBSTITUTE('Special Help Table'!$A632,"and ",""))=0,LEN('Special Help Table'!$A632)-LEN(SUBSTITUTE('Special Help Table'!$A632,";",""))=0),'Special Help Table'!$A632,AND(LEN('Special Help Table'!$A632)-LEN(SUBSTITUTE('Special Help Table'!$A632,",","")=1),LEN('Special Help Table'!$A632)-LEN(SUBSTITUTE('Special Help Table'!$A632," ","")=20),LEN('Special Help Table'!$A632)-LEN(SUBSTITUTE('Special Help Table'!$A632," and",""))=0,LEN('Special Help Table'!$A632)-LEN(SUBSTITUTE('Special Help Table'!$A632,",","",FIND(" ",'Special Help Table'!$A632)+1))=0),RIGHT('Special Help Table'!$A632,LEN('Special Help Table'!$A632)-FIND(", ",'Special Help Table'!$A632))&amp;" "&amp;LEFT('Special Help Table'!$A632,FIND(",",'Special Help Table'!$A632)-1),AND(LEN('Special Help Table'!$A632)-LEN(SUBSTITUTE('Special Help Table'!$A632,"editor",""))=6,LEN('Special Help Table'!$A632)-LEN(SUBSTITUTE('Special Help Table'!$A632,"(",""))=0,LEN('Special Help Table'!$A632)-LEN(SUBSTITUTE('Special Help Table'!$A632,"and",""))=3,LEN('Special Help Table'!$A632)-LEN(SUBSTITUTE('Special Help Table'!$A632,",",""))=1,LEN('Special Help Table'!$A632)-LEN(SUBSTITUTE('Special Help Table'!$A632," ",""))=3),'Special Help Table'!$A632)</f>
        <v xml:space="preserve"> Phil Ryken</v>
      </c>
      <c r="C632" s="4" t="s">
        <v>1185</v>
      </c>
      <c r="D632" s="2"/>
      <c r="E632" s="2" t="s">
        <v>16</v>
      </c>
      <c r="F632" s="2" t="s">
        <v>17</v>
      </c>
      <c r="G632" s="2"/>
      <c r="H632" s="2"/>
      <c r="I632" s="2"/>
      <c r="J632" s="2" t="s">
        <v>188</v>
      </c>
      <c r="K632" s="3">
        <v>42561</v>
      </c>
      <c r="L632" s="2"/>
      <c r="M632" s="2"/>
      <c r="N632" s="2" t="s">
        <v>18</v>
      </c>
    </row>
    <row r="633" spans="1:14" ht="15.75" customHeight="1" x14ac:dyDescent="0.35">
      <c r="A633" s="2" t="s">
        <v>1186</v>
      </c>
      <c r="B633" s="2" t="str" cm="1">
        <f t="array" ref="B633">_xlfn.IFS(AND(LEN('Special Help Table'!$A633)-(LEN(SUBSTITUTE('Special Help Table'!$A633,";","")))=0,LEN('Special Help Table'!$A633)-LEN(SUBSTITUTE('Special Help Table'!$A633,",",""))=1,LEN('Special Help Table'!$A633)-LEN(SUBSTITUTE('Special Help Table'!$A633,"and ",""))=0),MID('Special Help Table'!$A633&amp;" "&amp;'Special Help Table'!$A633,SEARCH(", ",'Special Help Table'!$A633)+1,LEN('Special Help Table'!$A633)),AND(LEN('Special Help Table'!$A633)-(LEN(SUBSTITUTE('Special Help Table'!$A633,";","")))=1,LEN('Special Help Table'!$A633)-LEN(SUBSTITUTE('Special Help Table'!$A633,"and ",""))=0),MID('Special Help Table'!$A633,SEARCH(",",'Special Help Table'!$A633)+1,(SEARCH(";",'Special Help Table'!$A633)-1)-SEARCH(",",'Special Help Table'!$A633))&amp;" "&amp;LEFT('Special Help Table'!$A633,SEARCH(",",'Special Help Table'!$A633)-1)&amp;";"&amp;RIGHT('Special Help Table'!$A633,LEN('Special Help Table'!$A633)-SEARCH(",",'Special Help Table'!$A633,SEARCH(";",'Special Help Table'!$A633)))&amp;" "&amp;MID('Special Help Table'!$A633,SEARCH("; ",'Special Help Table'!$A633)+2,SEARCH(",",'Special Help Table'!$A633,SEARCH(";",'Special Help Table'!$A633))-SEARCH(";",'Special Help Table'!$A633)-2),AND(LEN('Special Help Table'!$A633)-LEN(SUBSTITUTE('Special Help Table'!$A633,"and ",""))=0,LEN('Special Help Table'!$A633)-LEN(SUBSTITUTE('Special Help Table'!$A633,";",""))=0),'Special Help Table'!$A633,AND(LEN('Special Help Table'!$A633)-LEN(SUBSTITUTE('Special Help Table'!$A633,",","")=1),LEN('Special Help Table'!$A633)-LEN(SUBSTITUTE('Special Help Table'!$A633," ","")=20),LEN('Special Help Table'!$A633)-LEN(SUBSTITUTE('Special Help Table'!$A633," and",""))=0,LEN('Special Help Table'!$A633)-LEN(SUBSTITUTE('Special Help Table'!$A633,",","",FIND(" ",'Special Help Table'!$A633)+1))=0),RIGHT('Special Help Table'!$A633,LEN('Special Help Table'!$A633)-FIND(", ",'Special Help Table'!$A633))&amp;" "&amp;LEFT('Special Help Table'!$A633,FIND(",",'Special Help Table'!$A633)-1),AND(LEN('Special Help Table'!$A633)-LEN(SUBSTITUTE('Special Help Table'!$A633,"editor",""))=6,LEN('Special Help Table'!$A633)-LEN(SUBSTITUTE('Special Help Table'!$A633,"(",""))=0,LEN('Special Help Table'!$A633)-LEN(SUBSTITUTE('Special Help Table'!$A633,"and",""))=3,LEN('Special Help Table'!$A633)-LEN(SUBSTITUTE('Special Help Table'!$A633,",",""))=1,LEN('Special Help Table'!$A633)-LEN(SUBSTITUTE('Special Help Table'!$A633," ",""))=3),'Special Help Table'!$A633)</f>
        <v xml:space="preserve"> Philip Graham Ryken</v>
      </c>
      <c r="C633" s="4" t="s">
        <v>1187</v>
      </c>
      <c r="D633" s="2"/>
      <c r="E633" s="2" t="s">
        <v>16</v>
      </c>
      <c r="F633" s="2" t="s">
        <v>33</v>
      </c>
      <c r="G633" s="2"/>
      <c r="H633" s="2"/>
      <c r="I633" s="2"/>
      <c r="J633" s="2"/>
      <c r="K633" s="3">
        <v>40052</v>
      </c>
      <c r="L633" s="2"/>
      <c r="M633" s="2"/>
      <c r="N633" s="2" t="s">
        <v>18</v>
      </c>
    </row>
    <row r="634" spans="1:14" ht="15.75" customHeight="1" x14ac:dyDescent="0.35">
      <c r="A634" s="2" t="s">
        <v>1186</v>
      </c>
      <c r="B634" s="2" t="str" cm="1">
        <f t="array" ref="B634">_xlfn.IFS(AND(LEN('Special Help Table'!$A634)-(LEN(SUBSTITUTE('Special Help Table'!$A634,";","")))=0,LEN('Special Help Table'!$A634)-LEN(SUBSTITUTE('Special Help Table'!$A634,",",""))=1,LEN('Special Help Table'!$A634)-LEN(SUBSTITUTE('Special Help Table'!$A634,"and ",""))=0),MID('Special Help Table'!$A634&amp;" "&amp;'Special Help Table'!$A634,SEARCH(", ",'Special Help Table'!$A634)+1,LEN('Special Help Table'!$A634)),AND(LEN('Special Help Table'!$A634)-(LEN(SUBSTITUTE('Special Help Table'!$A634,";","")))=1,LEN('Special Help Table'!$A634)-LEN(SUBSTITUTE('Special Help Table'!$A634,"and ",""))=0),MID('Special Help Table'!$A634,SEARCH(",",'Special Help Table'!$A634)+1,(SEARCH(";",'Special Help Table'!$A634)-1)-SEARCH(",",'Special Help Table'!$A634))&amp;" "&amp;LEFT('Special Help Table'!$A634,SEARCH(",",'Special Help Table'!$A634)-1)&amp;";"&amp;RIGHT('Special Help Table'!$A634,LEN('Special Help Table'!$A634)-SEARCH(",",'Special Help Table'!$A634,SEARCH(";",'Special Help Table'!$A634)))&amp;" "&amp;MID('Special Help Table'!$A634,SEARCH("; ",'Special Help Table'!$A634)+2,SEARCH(",",'Special Help Table'!$A634,SEARCH(";",'Special Help Table'!$A634))-SEARCH(";",'Special Help Table'!$A634)-2),AND(LEN('Special Help Table'!$A634)-LEN(SUBSTITUTE('Special Help Table'!$A634,"and ",""))=0,LEN('Special Help Table'!$A634)-LEN(SUBSTITUTE('Special Help Table'!$A634,";",""))=0),'Special Help Table'!$A634,AND(LEN('Special Help Table'!$A634)-LEN(SUBSTITUTE('Special Help Table'!$A634,",","")=1),LEN('Special Help Table'!$A634)-LEN(SUBSTITUTE('Special Help Table'!$A634," ","")=20),LEN('Special Help Table'!$A634)-LEN(SUBSTITUTE('Special Help Table'!$A634," and",""))=0,LEN('Special Help Table'!$A634)-LEN(SUBSTITUTE('Special Help Table'!$A634,",","",FIND(" ",'Special Help Table'!$A634)+1))=0),RIGHT('Special Help Table'!$A634,LEN('Special Help Table'!$A634)-FIND(", ",'Special Help Table'!$A634))&amp;" "&amp;LEFT('Special Help Table'!$A634,FIND(",",'Special Help Table'!$A634)-1),AND(LEN('Special Help Table'!$A634)-LEN(SUBSTITUTE('Special Help Table'!$A634,"editor",""))=6,LEN('Special Help Table'!$A634)-LEN(SUBSTITUTE('Special Help Table'!$A634,"(",""))=0,LEN('Special Help Table'!$A634)-LEN(SUBSTITUTE('Special Help Table'!$A634,"and",""))=3,LEN('Special Help Table'!$A634)-LEN(SUBSTITUTE('Special Help Table'!$A634,",",""))=1,LEN('Special Help Table'!$A634)-LEN(SUBSTITUTE('Special Help Table'!$A634," ",""))=3),'Special Help Table'!$A634)</f>
        <v xml:space="preserve"> Philip Graham Ryken</v>
      </c>
      <c r="C634" s="4" t="s">
        <v>1188</v>
      </c>
      <c r="D634" s="2"/>
      <c r="E634" s="2" t="s">
        <v>16</v>
      </c>
      <c r="F634" s="2" t="s">
        <v>33</v>
      </c>
      <c r="G634" s="2"/>
      <c r="H634" s="2"/>
      <c r="I634" s="2"/>
      <c r="J634" s="2" t="s">
        <v>233</v>
      </c>
      <c r="K634" s="3">
        <v>40053</v>
      </c>
      <c r="L634" s="2"/>
      <c r="M634" s="2"/>
      <c r="N634" s="2" t="s">
        <v>18</v>
      </c>
    </row>
    <row r="635" spans="1:14" ht="15.75" customHeight="1" x14ac:dyDescent="0.35">
      <c r="A635" s="2" t="s">
        <v>1189</v>
      </c>
      <c r="B635" s="2" t="str" cm="1">
        <f t="array" ref="B635">_xlfn.IFS(AND(LEN('Special Help Table'!$A635)-(LEN(SUBSTITUTE('Special Help Table'!$A635,";","")))=0,LEN('Special Help Table'!$A635)-LEN(SUBSTITUTE('Special Help Table'!$A635,",",""))=1,LEN('Special Help Table'!$A635)-LEN(SUBSTITUTE('Special Help Table'!$A635,"and ",""))=0),MID('Special Help Table'!$A635&amp;" "&amp;'Special Help Table'!$A635,SEARCH(", ",'Special Help Table'!$A635)+1,LEN('Special Help Table'!$A635)),AND(LEN('Special Help Table'!$A635)-(LEN(SUBSTITUTE('Special Help Table'!$A635,";","")))=1,LEN('Special Help Table'!$A635)-LEN(SUBSTITUTE('Special Help Table'!$A635,"and ",""))=0),MID('Special Help Table'!$A635,SEARCH(",",'Special Help Table'!$A635)+1,(SEARCH(";",'Special Help Table'!$A635)-1)-SEARCH(",",'Special Help Table'!$A635))&amp;" "&amp;LEFT('Special Help Table'!$A635,SEARCH(",",'Special Help Table'!$A635)-1)&amp;";"&amp;RIGHT('Special Help Table'!$A635,LEN('Special Help Table'!$A635)-SEARCH(",",'Special Help Table'!$A635,SEARCH(";",'Special Help Table'!$A635)))&amp;" "&amp;MID('Special Help Table'!$A635,SEARCH("; ",'Special Help Table'!$A635)+2,SEARCH(",",'Special Help Table'!$A635,SEARCH(";",'Special Help Table'!$A635))-SEARCH(";",'Special Help Table'!$A635)-2),AND(LEN('Special Help Table'!$A635)-LEN(SUBSTITUTE('Special Help Table'!$A635,"and ",""))=0,LEN('Special Help Table'!$A635)-LEN(SUBSTITUTE('Special Help Table'!$A635,";",""))=0),'Special Help Table'!$A635,AND(LEN('Special Help Table'!$A635)-LEN(SUBSTITUTE('Special Help Table'!$A635,",","")=1),LEN('Special Help Table'!$A635)-LEN(SUBSTITUTE('Special Help Table'!$A635," ","")=20),LEN('Special Help Table'!$A635)-LEN(SUBSTITUTE('Special Help Table'!$A635," and",""))=0,LEN('Special Help Table'!$A635)-LEN(SUBSTITUTE('Special Help Table'!$A635,",","",FIND(" ",'Special Help Table'!$A635)+1))=0),RIGHT('Special Help Table'!$A635,LEN('Special Help Table'!$A635)-FIND(", ",'Special Help Table'!$A635))&amp;" "&amp;LEFT('Special Help Table'!$A635,FIND(",",'Special Help Table'!$A635)-1),AND(LEN('Special Help Table'!$A635)-LEN(SUBSTITUTE('Special Help Table'!$A635,"editor",""))=6,LEN('Special Help Table'!$A635)-LEN(SUBSTITUTE('Special Help Table'!$A635,"(",""))=0,LEN('Special Help Table'!$A635)-LEN(SUBSTITUTE('Special Help Table'!$A635,"and",""))=3,LEN('Special Help Table'!$A635)-LEN(SUBSTITUTE('Special Help Table'!$A635,",",""))=1,LEN('Special Help Table'!$A635)-LEN(SUBSTITUTE('Special Help Table'!$A635," ",""))=3),'Special Help Table'!$A635)</f>
        <v xml:space="preserve"> J.C. Ryle</v>
      </c>
      <c r="C635" s="4" t="s">
        <v>1190</v>
      </c>
      <c r="D635" s="2"/>
      <c r="E635" s="2" t="s">
        <v>16</v>
      </c>
      <c r="F635" s="2" t="s">
        <v>36</v>
      </c>
      <c r="G635" s="2"/>
      <c r="H635" s="2"/>
      <c r="I635" s="2"/>
      <c r="J635" s="2" t="s">
        <v>172</v>
      </c>
      <c r="K635" s="3">
        <v>44772</v>
      </c>
      <c r="L635" s="2"/>
      <c r="M635" s="2"/>
      <c r="N635" s="2" t="s">
        <v>18</v>
      </c>
    </row>
    <row r="636" spans="1:14" ht="15.75" customHeight="1" x14ac:dyDescent="0.35">
      <c r="A636" s="2" t="s">
        <v>1189</v>
      </c>
      <c r="B636" s="2" t="str" cm="1">
        <f t="array" ref="B636">_xlfn.IFS(AND(LEN('Special Help Table'!$A636)-(LEN(SUBSTITUTE('Special Help Table'!$A636,";","")))=0,LEN('Special Help Table'!$A636)-LEN(SUBSTITUTE('Special Help Table'!$A636,",",""))=1,LEN('Special Help Table'!$A636)-LEN(SUBSTITUTE('Special Help Table'!$A636,"and ",""))=0),MID('Special Help Table'!$A636&amp;" "&amp;'Special Help Table'!$A636,SEARCH(", ",'Special Help Table'!$A636)+1,LEN('Special Help Table'!$A636)),AND(LEN('Special Help Table'!$A636)-(LEN(SUBSTITUTE('Special Help Table'!$A636,";","")))=1,LEN('Special Help Table'!$A636)-LEN(SUBSTITUTE('Special Help Table'!$A636,"and ",""))=0),MID('Special Help Table'!$A636,SEARCH(",",'Special Help Table'!$A636)+1,(SEARCH(";",'Special Help Table'!$A636)-1)-SEARCH(",",'Special Help Table'!$A636))&amp;" "&amp;LEFT('Special Help Table'!$A636,SEARCH(",",'Special Help Table'!$A636)-1)&amp;";"&amp;RIGHT('Special Help Table'!$A636,LEN('Special Help Table'!$A636)-SEARCH(",",'Special Help Table'!$A636,SEARCH(";",'Special Help Table'!$A636)))&amp;" "&amp;MID('Special Help Table'!$A636,SEARCH("; ",'Special Help Table'!$A636)+2,SEARCH(",",'Special Help Table'!$A636,SEARCH(";",'Special Help Table'!$A636))-SEARCH(";",'Special Help Table'!$A636)-2),AND(LEN('Special Help Table'!$A636)-LEN(SUBSTITUTE('Special Help Table'!$A636,"and ",""))=0,LEN('Special Help Table'!$A636)-LEN(SUBSTITUTE('Special Help Table'!$A636,";",""))=0),'Special Help Table'!$A636,AND(LEN('Special Help Table'!$A636)-LEN(SUBSTITUTE('Special Help Table'!$A636,",","")=1),LEN('Special Help Table'!$A636)-LEN(SUBSTITUTE('Special Help Table'!$A636," ","")=20),LEN('Special Help Table'!$A636)-LEN(SUBSTITUTE('Special Help Table'!$A636," and",""))=0,LEN('Special Help Table'!$A636)-LEN(SUBSTITUTE('Special Help Table'!$A636,",","",FIND(" ",'Special Help Table'!$A636)+1))=0),RIGHT('Special Help Table'!$A636,LEN('Special Help Table'!$A636)-FIND(", ",'Special Help Table'!$A636))&amp;" "&amp;LEFT('Special Help Table'!$A636,FIND(",",'Special Help Table'!$A636)-1),AND(LEN('Special Help Table'!$A636)-LEN(SUBSTITUTE('Special Help Table'!$A636,"editor",""))=6,LEN('Special Help Table'!$A636)-LEN(SUBSTITUTE('Special Help Table'!$A636,"(",""))=0,LEN('Special Help Table'!$A636)-LEN(SUBSTITUTE('Special Help Table'!$A636,"and",""))=3,LEN('Special Help Table'!$A636)-LEN(SUBSTITUTE('Special Help Table'!$A636,",",""))=1,LEN('Special Help Table'!$A636)-LEN(SUBSTITUTE('Special Help Table'!$A636," ",""))=3),'Special Help Table'!$A636)</f>
        <v xml:space="preserve"> J.C. Ryle</v>
      </c>
      <c r="C636" s="4" t="s">
        <v>1191</v>
      </c>
      <c r="D636" s="2"/>
      <c r="E636" s="2" t="s">
        <v>16</v>
      </c>
      <c r="F636" s="2" t="s">
        <v>92</v>
      </c>
      <c r="G636" s="2"/>
      <c r="H636" s="2"/>
      <c r="I636" s="2"/>
      <c r="J636" s="2"/>
      <c r="K636" s="3">
        <v>41287</v>
      </c>
      <c r="L636" s="2"/>
      <c r="M636" s="2"/>
      <c r="N636" s="2" t="s">
        <v>18</v>
      </c>
    </row>
    <row r="637" spans="1:14" ht="15.75" customHeight="1" x14ac:dyDescent="0.35">
      <c r="A637" s="2" t="s">
        <v>1189</v>
      </c>
      <c r="B637" s="2" t="str" cm="1">
        <f t="array" ref="B637">_xlfn.IFS(AND(LEN('Special Help Table'!$A637)-(LEN(SUBSTITUTE('Special Help Table'!$A637,";","")))=0,LEN('Special Help Table'!$A637)-LEN(SUBSTITUTE('Special Help Table'!$A637,",",""))=1,LEN('Special Help Table'!$A637)-LEN(SUBSTITUTE('Special Help Table'!$A637,"and ",""))=0),MID('Special Help Table'!$A637&amp;" "&amp;'Special Help Table'!$A637,SEARCH(", ",'Special Help Table'!$A637)+1,LEN('Special Help Table'!$A637)),AND(LEN('Special Help Table'!$A637)-(LEN(SUBSTITUTE('Special Help Table'!$A637,";","")))=1,LEN('Special Help Table'!$A637)-LEN(SUBSTITUTE('Special Help Table'!$A637,"and ",""))=0),MID('Special Help Table'!$A637,SEARCH(",",'Special Help Table'!$A637)+1,(SEARCH(";",'Special Help Table'!$A637)-1)-SEARCH(",",'Special Help Table'!$A637))&amp;" "&amp;LEFT('Special Help Table'!$A637,SEARCH(",",'Special Help Table'!$A637)-1)&amp;";"&amp;RIGHT('Special Help Table'!$A637,LEN('Special Help Table'!$A637)-SEARCH(",",'Special Help Table'!$A637,SEARCH(";",'Special Help Table'!$A637)))&amp;" "&amp;MID('Special Help Table'!$A637,SEARCH("; ",'Special Help Table'!$A637)+2,SEARCH(",",'Special Help Table'!$A637,SEARCH(";",'Special Help Table'!$A637))-SEARCH(";",'Special Help Table'!$A637)-2),AND(LEN('Special Help Table'!$A637)-LEN(SUBSTITUTE('Special Help Table'!$A637,"and ",""))=0,LEN('Special Help Table'!$A637)-LEN(SUBSTITUTE('Special Help Table'!$A637,";",""))=0),'Special Help Table'!$A637,AND(LEN('Special Help Table'!$A637)-LEN(SUBSTITUTE('Special Help Table'!$A637,",","")=1),LEN('Special Help Table'!$A637)-LEN(SUBSTITUTE('Special Help Table'!$A637," ","")=20),LEN('Special Help Table'!$A637)-LEN(SUBSTITUTE('Special Help Table'!$A637," and",""))=0,LEN('Special Help Table'!$A637)-LEN(SUBSTITUTE('Special Help Table'!$A637,",","",FIND(" ",'Special Help Table'!$A637)+1))=0),RIGHT('Special Help Table'!$A637,LEN('Special Help Table'!$A637)-FIND(", ",'Special Help Table'!$A637))&amp;" "&amp;LEFT('Special Help Table'!$A637,FIND(",",'Special Help Table'!$A637)-1),AND(LEN('Special Help Table'!$A637)-LEN(SUBSTITUTE('Special Help Table'!$A637,"editor",""))=6,LEN('Special Help Table'!$A637)-LEN(SUBSTITUTE('Special Help Table'!$A637,"(",""))=0,LEN('Special Help Table'!$A637)-LEN(SUBSTITUTE('Special Help Table'!$A637,"and",""))=3,LEN('Special Help Table'!$A637)-LEN(SUBSTITUTE('Special Help Table'!$A637,",",""))=1,LEN('Special Help Table'!$A637)-LEN(SUBSTITUTE('Special Help Table'!$A637," ",""))=3),'Special Help Table'!$A637)</f>
        <v xml:space="preserve"> J.C. Ryle</v>
      </c>
      <c r="C637" s="4" t="s">
        <v>1192</v>
      </c>
      <c r="D637" s="2"/>
      <c r="E637" s="2" t="s">
        <v>16</v>
      </c>
      <c r="F637" s="2" t="s">
        <v>92</v>
      </c>
      <c r="G637" s="2"/>
      <c r="H637" s="2"/>
      <c r="I637" s="2"/>
      <c r="J637" s="2"/>
      <c r="K637" s="3">
        <v>40034</v>
      </c>
      <c r="L637" s="2"/>
      <c r="M637" s="2"/>
      <c r="N637" s="2" t="s">
        <v>18</v>
      </c>
    </row>
    <row r="638" spans="1:14" ht="15.75" customHeight="1" x14ac:dyDescent="0.35">
      <c r="A638" s="2" t="s">
        <v>1189</v>
      </c>
      <c r="B638" s="2" t="str" cm="1">
        <f t="array" ref="B638">_xlfn.IFS(AND(LEN('Special Help Table'!$A638)-(LEN(SUBSTITUTE('Special Help Table'!$A638,";","")))=0,LEN('Special Help Table'!$A638)-LEN(SUBSTITUTE('Special Help Table'!$A638,",",""))=1,LEN('Special Help Table'!$A638)-LEN(SUBSTITUTE('Special Help Table'!$A638,"and ",""))=0),MID('Special Help Table'!$A638&amp;" "&amp;'Special Help Table'!$A638,SEARCH(", ",'Special Help Table'!$A638)+1,LEN('Special Help Table'!$A638)),AND(LEN('Special Help Table'!$A638)-(LEN(SUBSTITUTE('Special Help Table'!$A638,";","")))=1,LEN('Special Help Table'!$A638)-LEN(SUBSTITUTE('Special Help Table'!$A638,"and ",""))=0),MID('Special Help Table'!$A638,SEARCH(",",'Special Help Table'!$A638)+1,(SEARCH(";",'Special Help Table'!$A638)-1)-SEARCH(",",'Special Help Table'!$A638))&amp;" "&amp;LEFT('Special Help Table'!$A638,SEARCH(",",'Special Help Table'!$A638)-1)&amp;";"&amp;RIGHT('Special Help Table'!$A638,LEN('Special Help Table'!$A638)-SEARCH(",",'Special Help Table'!$A638,SEARCH(";",'Special Help Table'!$A638)))&amp;" "&amp;MID('Special Help Table'!$A638,SEARCH("; ",'Special Help Table'!$A638)+2,SEARCH(",",'Special Help Table'!$A638,SEARCH(";",'Special Help Table'!$A638))-SEARCH(";",'Special Help Table'!$A638)-2),AND(LEN('Special Help Table'!$A638)-LEN(SUBSTITUTE('Special Help Table'!$A638,"and ",""))=0,LEN('Special Help Table'!$A638)-LEN(SUBSTITUTE('Special Help Table'!$A638,";",""))=0),'Special Help Table'!$A638,AND(LEN('Special Help Table'!$A638)-LEN(SUBSTITUTE('Special Help Table'!$A638,",","")=1),LEN('Special Help Table'!$A638)-LEN(SUBSTITUTE('Special Help Table'!$A638," ","")=20),LEN('Special Help Table'!$A638)-LEN(SUBSTITUTE('Special Help Table'!$A638," and",""))=0,LEN('Special Help Table'!$A638)-LEN(SUBSTITUTE('Special Help Table'!$A638,",","",FIND(" ",'Special Help Table'!$A638)+1))=0),RIGHT('Special Help Table'!$A638,LEN('Special Help Table'!$A638)-FIND(", ",'Special Help Table'!$A638))&amp;" "&amp;LEFT('Special Help Table'!$A638,FIND(",",'Special Help Table'!$A638)-1),AND(LEN('Special Help Table'!$A638)-LEN(SUBSTITUTE('Special Help Table'!$A638,"editor",""))=6,LEN('Special Help Table'!$A638)-LEN(SUBSTITUTE('Special Help Table'!$A638,"(",""))=0,LEN('Special Help Table'!$A638)-LEN(SUBSTITUTE('Special Help Table'!$A638,"and",""))=3,LEN('Special Help Table'!$A638)-LEN(SUBSTITUTE('Special Help Table'!$A638,",",""))=1,LEN('Special Help Table'!$A638)-LEN(SUBSTITUTE('Special Help Table'!$A638," ",""))=3),'Special Help Table'!$A638)</f>
        <v xml:space="preserve"> J.C. Ryle</v>
      </c>
      <c r="C638" s="4" t="s">
        <v>1193</v>
      </c>
      <c r="D638" s="2"/>
      <c r="E638" s="2" t="s">
        <v>16</v>
      </c>
      <c r="F638" s="2" t="s">
        <v>92</v>
      </c>
      <c r="G638" s="2"/>
      <c r="H638" s="2"/>
      <c r="I638" s="2"/>
      <c r="J638" s="2"/>
      <c r="K638" s="3">
        <v>40308</v>
      </c>
      <c r="L638" s="2"/>
      <c r="M638" s="2"/>
      <c r="N638" s="2" t="s">
        <v>18</v>
      </c>
    </row>
    <row r="639" spans="1:14" ht="15.75" customHeight="1" x14ac:dyDescent="0.35">
      <c r="A639" s="2" t="s">
        <v>1189</v>
      </c>
      <c r="B639" s="2" t="str" cm="1">
        <f t="array" ref="B639">_xlfn.IFS(AND(LEN('Special Help Table'!$A639)-(LEN(SUBSTITUTE('Special Help Table'!$A639,";","")))=0,LEN('Special Help Table'!$A639)-LEN(SUBSTITUTE('Special Help Table'!$A639,",",""))=1,LEN('Special Help Table'!$A639)-LEN(SUBSTITUTE('Special Help Table'!$A639,"and ",""))=0),MID('Special Help Table'!$A639&amp;" "&amp;'Special Help Table'!$A639,SEARCH(", ",'Special Help Table'!$A639)+1,LEN('Special Help Table'!$A639)),AND(LEN('Special Help Table'!$A639)-(LEN(SUBSTITUTE('Special Help Table'!$A639,";","")))=1,LEN('Special Help Table'!$A639)-LEN(SUBSTITUTE('Special Help Table'!$A639,"and ",""))=0),MID('Special Help Table'!$A639,SEARCH(",",'Special Help Table'!$A639)+1,(SEARCH(";",'Special Help Table'!$A639)-1)-SEARCH(",",'Special Help Table'!$A639))&amp;" "&amp;LEFT('Special Help Table'!$A639,SEARCH(",",'Special Help Table'!$A639)-1)&amp;";"&amp;RIGHT('Special Help Table'!$A639,LEN('Special Help Table'!$A639)-SEARCH(",",'Special Help Table'!$A639,SEARCH(";",'Special Help Table'!$A639)))&amp;" "&amp;MID('Special Help Table'!$A639,SEARCH("; ",'Special Help Table'!$A639)+2,SEARCH(",",'Special Help Table'!$A639,SEARCH(";",'Special Help Table'!$A639))-SEARCH(";",'Special Help Table'!$A639)-2),AND(LEN('Special Help Table'!$A639)-LEN(SUBSTITUTE('Special Help Table'!$A639,"and ",""))=0,LEN('Special Help Table'!$A639)-LEN(SUBSTITUTE('Special Help Table'!$A639,";",""))=0),'Special Help Table'!$A639,AND(LEN('Special Help Table'!$A639)-LEN(SUBSTITUTE('Special Help Table'!$A639,",","")=1),LEN('Special Help Table'!$A639)-LEN(SUBSTITUTE('Special Help Table'!$A639," ","")=20),LEN('Special Help Table'!$A639)-LEN(SUBSTITUTE('Special Help Table'!$A639," and",""))=0,LEN('Special Help Table'!$A639)-LEN(SUBSTITUTE('Special Help Table'!$A639,",","",FIND(" ",'Special Help Table'!$A639)+1))=0),RIGHT('Special Help Table'!$A639,LEN('Special Help Table'!$A639)-FIND(", ",'Special Help Table'!$A639))&amp;" "&amp;LEFT('Special Help Table'!$A639,FIND(",",'Special Help Table'!$A639)-1),AND(LEN('Special Help Table'!$A639)-LEN(SUBSTITUTE('Special Help Table'!$A639,"editor",""))=6,LEN('Special Help Table'!$A639)-LEN(SUBSTITUTE('Special Help Table'!$A639,"(",""))=0,LEN('Special Help Table'!$A639)-LEN(SUBSTITUTE('Special Help Table'!$A639,"and",""))=3,LEN('Special Help Table'!$A639)-LEN(SUBSTITUTE('Special Help Table'!$A639,",",""))=1,LEN('Special Help Table'!$A639)-LEN(SUBSTITUTE('Special Help Table'!$A639," ",""))=3),'Special Help Table'!$A639)</f>
        <v xml:space="preserve"> J.C. Ryle</v>
      </c>
      <c r="C639" s="4" t="s">
        <v>1194</v>
      </c>
      <c r="D639" s="2"/>
      <c r="E639" s="2" t="s">
        <v>16</v>
      </c>
      <c r="F639" s="2" t="s">
        <v>92</v>
      </c>
      <c r="G639" s="2"/>
      <c r="H639" s="2"/>
      <c r="I639" s="2"/>
      <c r="J639" s="2"/>
      <c r="K639" s="3">
        <v>40056</v>
      </c>
      <c r="L639" s="2"/>
      <c r="M639" s="2"/>
      <c r="N639" s="2" t="s">
        <v>18</v>
      </c>
    </row>
    <row r="640" spans="1:14" ht="15.75" customHeight="1" x14ac:dyDescent="0.35">
      <c r="A640" s="2" t="s">
        <v>1189</v>
      </c>
      <c r="B640" s="2" t="str" cm="1">
        <f t="array" ref="B640">_xlfn.IFS(AND(LEN('Special Help Table'!$A640)-(LEN(SUBSTITUTE('Special Help Table'!$A640,";","")))=0,LEN('Special Help Table'!$A640)-LEN(SUBSTITUTE('Special Help Table'!$A640,",",""))=1,LEN('Special Help Table'!$A640)-LEN(SUBSTITUTE('Special Help Table'!$A640,"and ",""))=0),MID('Special Help Table'!$A640&amp;" "&amp;'Special Help Table'!$A640,SEARCH(", ",'Special Help Table'!$A640)+1,LEN('Special Help Table'!$A640)),AND(LEN('Special Help Table'!$A640)-(LEN(SUBSTITUTE('Special Help Table'!$A640,";","")))=1,LEN('Special Help Table'!$A640)-LEN(SUBSTITUTE('Special Help Table'!$A640,"and ",""))=0),MID('Special Help Table'!$A640,SEARCH(",",'Special Help Table'!$A640)+1,(SEARCH(";",'Special Help Table'!$A640)-1)-SEARCH(",",'Special Help Table'!$A640))&amp;" "&amp;LEFT('Special Help Table'!$A640,SEARCH(",",'Special Help Table'!$A640)-1)&amp;";"&amp;RIGHT('Special Help Table'!$A640,LEN('Special Help Table'!$A640)-SEARCH(",",'Special Help Table'!$A640,SEARCH(";",'Special Help Table'!$A640)))&amp;" "&amp;MID('Special Help Table'!$A640,SEARCH("; ",'Special Help Table'!$A640)+2,SEARCH(",",'Special Help Table'!$A640,SEARCH(";",'Special Help Table'!$A640))-SEARCH(";",'Special Help Table'!$A640)-2),AND(LEN('Special Help Table'!$A640)-LEN(SUBSTITUTE('Special Help Table'!$A640,"and ",""))=0,LEN('Special Help Table'!$A640)-LEN(SUBSTITUTE('Special Help Table'!$A640,";",""))=0),'Special Help Table'!$A640,AND(LEN('Special Help Table'!$A640)-LEN(SUBSTITUTE('Special Help Table'!$A640,",","")=1),LEN('Special Help Table'!$A640)-LEN(SUBSTITUTE('Special Help Table'!$A640," ","")=20),LEN('Special Help Table'!$A640)-LEN(SUBSTITUTE('Special Help Table'!$A640," and",""))=0,LEN('Special Help Table'!$A640)-LEN(SUBSTITUTE('Special Help Table'!$A640,",","",FIND(" ",'Special Help Table'!$A640)+1))=0),RIGHT('Special Help Table'!$A640,LEN('Special Help Table'!$A640)-FIND(", ",'Special Help Table'!$A640))&amp;" "&amp;LEFT('Special Help Table'!$A640,FIND(",",'Special Help Table'!$A640)-1),AND(LEN('Special Help Table'!$A640)-LEN(SUBSTITUTE('Special Help Table'!$A640,"editor",""))=6,LEN('Special Help Table'!$A640)-LEN(SUBSTITUTE('Special Help Table'!$A640,"(",""))=0,LEN('Special Help Table'!$A640)-LEN(SUBSTITUTE('Special Help Table'!$A640,"and",""))=3,LEN('Special Help Table'!$A640)-LEN(SUBSTITUTE('Special Help Table'!$A640,",",""))=1,LEN('Special Help Table'!$A640)-LEN(SUBSTITUTE('Special Help Table'!$A640," ",""))=3),'Special Help Table'!$A640)</f>
        <v xml:space="preserve"> J.C. Ryle</v>
      </c>
      <c r="C640" s="4" t="s">
        <v>1195</v>
      </c>
      <c r="D640" s="2"/>
      <c r="E640" s="2" t="s">
        <v>16</v>
      </c>
      <c r="F640" s="2" t="s">
        <v>92</v>
      </c>
      <c r="G640" s="2"/>
      <c r="H640" s="2"/>
      <c r="I640" s="2"/>
      <c r="J640" s="2"/>
      <c r="K640" s="3">
        <v>40055</v>
      </c>
      <c r="L640" s="2"/>
      <c r="M640" s="2"/>
      <c r="N640" s="2" t="s">
        <v>18</v>
      </c>
    </row>
    <row r="641" spans="1:14" ht="15.75" customHeight="1" x14ac:dyDescent="0.35">
      <c r="A641" s="2" t="s">
        <v>1189</v>
      </c>
      <c r="B641" s="2" t="str" cm="1">
        <f t="array" ref="B641">_xlfn.IFS(AND(LEN('Special Help Table'!$A641)-(LEN(SUBSTITUTE('Special Help Table'!$A641,";","")))=0,LEN('Special Help Table'!$A641)-LEN(SUBSTITUTE('Special Help Table'!$A641,",",""))=1,LEN('Special Help Table'!$A641)-LEN(SUBSTITUTE('Special Help Table'!$A641,"and ",""))=0),MID('Special Help Table'!$A641&amp;" "&amp;'Special Help Table'!$A641,SEARCH(", ",'Special Help Table'!$A641)+1,LEN('Special Help Table'!$A641)),AND(LEN('Special Help Table'!$A641)-(LEN(SUBSTITUTE('Special Help Table'!$A641,";","")))=1,LEN('Special Help Table'!$A641)-LEN(SUBSTITUTE('Special Help Table'!$A641,"and ",""))=0),MID('Special Help Table'!$A641,SEARCH(",",'Special Help Table'!$A641)+1,(SEARCH(";",'Special Help Table'!$A641)-1)-SEARCH(",",'Special Help Table'!$A641))&amp;" "&amp;LEFT('Special Help Table'!$A641,SEARCH(",",'Special Help Table'!$A641)-1)&amp;";"&amp;RIGHT('Special Help Table'!$A641,LEN('Special Help Table'!$A641)-SEARCH(",",'Special Help Table'!$A641,SEARCH(";",'Special Help Table'!$A641)))&amp;" "&amp;MID('Special Help Table'!$A641,SEARCH("; ",'Special Help Table'!$A641)+2,SEARCH(",",'Special Help Table'!$A641,SEARCH(";",'Special Help Table'!$A641))-SEARCH(";",'Special Help Table'!$A641)-2),AND(LEN('Special Help Table'!$A641)-LEN(SUBSTITUTE('Special Help Table'!$A641,"and ",""))=0,LEN('Special Help Table'!$A641)-LEN(SUBSTITUTE('Special Help Table'!$A641,";",""))=0),'Special Help Table'!$A641,AND(LEN('Special Help Table'!$A641)-LEN(SUBSTITUTE('Special Help Table'!$A641,",","")=1),LEN('Special Help Table'!$A641)-LEN(SUBSTITUTE('Special Help Table'!$A641," ","")=20),LEN('Special Help Table'!$A641)-LEN(SUBSTITUTE('Special Help Table'!$A641," and",""))=0,LEN('Special Help Table'!$A641)-LEN(SUBSTITUTE('Special Help Table'!$A641,",","",FIND(" ",'Special Help Table'!$A641)+1))=0),RIGHT('Special Help Table'!$A641,LEN('Special Help Table'!$A641)-FIND(", ",'Special Help Table'!$A641))&amp;" "&amp;LEFT('Special Help Table'!$A641,FIND(",",'Special Help Table'!$A641)-1),AND(LEN('Special Help Table'!$A641)-LEN(SUBSTITUTE('Special Help Table'!$A641,"editor",""))=6,LEN('Special Help Table'!$A641)-LEN(SUBSTITUTE('Special Help Table'!$A641,"(",""))=0,LEN('Special Help Table'!$A641)-LEN(SUBSTITUTE('Special Help Table'!$A641,"and",""))=3,LEN('Special Help Table'!$A641)-LEN(SUBSTITUTE('Special Help Table'!$A641,",",""))=1,LEN('Special Help Table'!$A641)-LEN(SUBSTITUTE('Special Help Table'!$A641," ",""))=3),'Special Help Table'!$A641)</f>
        <v xml:space="preserve"> J.C. Ryle</v>
      </c>
      <c r="C641" s="4" t="s">
        <v>1196</v>
      </c>
      <c r="D641" s="2"/>
      <c r="E641" s="2" t="s">
        <v>16</v>
      </c>
      <c r="F641" s="2" t="s">
        <v>92</v>
      </c>
      <c r="G641" s="2"/>
      <c r="H641" s="2"/>
      <c r="I641" s="2"/>
      <c r="J641" s="2"/>
      <c r="K641" s="3">
        <v>40054</v>
      </c>
      <c r="L641" s="2"/>
      <c r="M641" s="2"/>
      <c r="N641" s="2" t="s">
        <v>18</v>
      </c>
    </row>
    <row r="642" spans="1:14" ht="15.75" customHeight="1" x14ac:dyDescent="0.35">
      <c r="A642" s="2" t="s">
        <v>1189</v>
      </c>
      <c r="B642" s="2" t="str" cm="1">
        <f t="array" ref="B642">_xlfn.IFS(AND(LEN('Special Help Table'!$A642)-(LEN(SUBSTITUTE('Special Help Table'!$A642,";","")))=0,LEN('Special Help Table'!$A642)-LEN(SUBSTITUTE('Special Help Table'!$A642,",",""))=1,LEN('Special Help Table'!$A642)-LEN(SUBSTITUTE('Special Help Table'!$A642,"and ",""))=0),MID('Special Help Table'!$A642&amp;" "&amp;'Special Help Table'!$A642,SEARCH(", ",'Special Help Table'!$A642)+1,LEN('Special Help Table'!$A642)),AND(LEN('Special Help Table'!$A642)-(LEN(SUBSTITUTE('Special Help Table'!$A642,";","")))=1,LEN('Special Help Table'!$A642)-LEN(SUBSTITUTE('Special Help Table'!$A642,"and ",""))=0),MID('Special Help Table'!$A642,SEARCH(",",'Special Help Table'!$A642)+1,(SEARCH(";",'Special Help Table'!$A642)-1)-SEARCH(",",'Special Help Table'!$A642))&amp;" "&amp;LEFT('Special Help Table'!$A642,SEARCH(",",'Special Help Table'!$A642)-1)&amp;";"&amp;RIGHT('Special Help Table'!$A642,LEN('Special Help Table'!$A642)-SEARCH(",",'Special Help Table'!$A642,SEARCH(";",'Special Help Table'!$A642)))&amp;" "&amp;MID('Special Help Table'!$A642,SEARCH("; ",'Special Help Table'!$A642)+2,SEARCH(",",'Special Help Table'!$A642,SEARCH(";",'Special Help Table'!$A642))-SEARCH(";",'Special Help Table'!$A642)-2),AND(LEN('Special Help Table'!$A642)-LEN(SUBSTITUTE('Special Help Table'!$A642,"and ",""))=0,LEN('Special Help Table'!$A642)-LEN(SUBSTITUTE('Special Help Table'!$A642,";",""))=0),'Special Help Table'!$A642,AND(LEN('Special Help Table'!$A642)-LEN(SUBSTITUTE('Special Help Table'!$A642,",","")=1),LEN('Special Help Table'!$A642)-LEN(SUBSTITUTE('Special Help Table'!$A642," ","")=20),LEN('Special Help Table'!$A642)-LEN(SUBSTITUTE('Special Help Table'!$A642," and",""))=0,LEN('Special Help Table'!$A642)-LEN(SUBSTITUTE('Special Help Table'!$A642,",","",FIND(" ",'Special Help Table'!$A642)+1))=0),RIGHT('Special Help Table'!$A642,LEN('Special Help Table'!$A642)-FIND(", ",'Special Help Table'!$A642))&amp;" "&amp;LEFT('Special Help Table'!$A642,FIND(",",'Special Help Table'!$A642)-1),AND(LEN('Special Help Table'!$A642)-LEN(SUBSTITUTE('Special Help Table'!$A642,"editor",""))=6,LEN('Special Help Table'!$A642)-LEN(SUBSTITUTE('Special Help Table'!$A642,"(",""))=0,LEN('Special Help Table'!$A642)-LEN(SUBSTITUTE('Special Help Table'!$A642,"and",""))=3,LEN('Special Help Table'!$A642)-LEN(SUBSTITUTE('Special Help Table'!$A642,",",""))=1,LEN('Special Help Table'!$A642)-LEN(SUBSTITUTE('Special Help Table'!$A642," ",""))=3),'Special Help Table'!$A642)</f>
        <v xml:space="preserve"> J.C. Ryle</v>
      </c>
      <c r="C642" s="4" t="s">
        <v>1197</v>
      </c>
      <c r="D642" s="2"/>
      <c r="E642" s="2" t="s">
        <v>16</v>
      </c>
      <c r="F642" s="2" t="s">
        <v>36</v>
      </c>
      <c r="G642" s="2"/>
      <c r="H642" s="2"/>
      <c r="I642" s="2"/>
      <c r="J642" s="2"/>
      <c r="K642" s="3">
        <v>41102</v>
      </c>
      <c r="L642" s="2"/>
      <c r="M642" s="2"/>
      <c r="N642" s="2" t="s">
        <v>18</v>
      </c>
    </row>
    <row r="643" spans="1:14" ht="15.75" customHeight="1" x14ac:dyDescent="0.35">
      <c r="A643" s="2" t="s">
        <v>1189</v>
      </c>
      <c r="B643" s="2" t="str" cm="1">
        <f t="array" ref="B643">_xlfn.IFS(AND(LEN('Special Help Table'!$A643)-(LEN(SUBSTITUTE('Special Help Table'!$A643,";","")))=0,LEN('Special Help Table'!$A643)-LEN(SUBSTITUTE('Special Help Table'!$A643,",",""))=1,LEN('Special Help Table'!$A643)-LEN(SUBSTITUTE('Special Help Table'!$A643,"and ",""))=0),MID('Special Help Table'!$A643&amp;" "&amp;'Special Help Table'!$A643,SEARCH(", ",'Special Help Table'!$A643)+1,LEN('Special Help Table'!$A643)),AND(LEN('Special Help Table'!$A643)-(LEN(SUBSTITUTE('Special Help Table'!$A643,";","")))=1,LEN('Special Help Table'!$A643)-LEN(SUBSTITUTE('Special Help Table'!$A643,"and ",""))=0),MID('Special Help Table'!$A643,SEARCH(",",'Special Help Table'!$A643)+1,(SEARCH(";",'Special Help Table'!$A643)-1)-SEARCH(",",'Special Help Table'!$A643))&amp;" "&amp;LEFT('Special Help Table'!$A643,SEARCH(",",'Special Help Table'!$A643)-1)&amp;";"&amp;RIGHT('Special Help Table'!$A643,LEN('Special Help Table'!$A643)-SEARCH(",",'Special Help Table'!$A643,SEARCH(";",'Special Help Table'!$A643)))&amp;" "&amp;MID('Special Help Table'!$A643,SEARCH("; ",'Special Help Table'!$A643)+2,SEARCH(",",'Special Help Table'!$A643,SEARCH(";",'Special Help Table'!$A643))-SEARCH(";",'Special Help Table'!$A643)-2),AND(LEN('Special Help Table'!$A643)-LEN(SUBSTITUTE('Special Help Table'!$A643,"and ",""))=0,LEN('Special Help Table'!$A643)-LEN(SUBSTITUTE('Special Help Table'!$A643,";",""))=0),'Special Help Table'!$A643,AND(LEN('Special Help Table'!$A643)-LEN(SUBSTITUTE('Special Help Table'!$A643,",","")=1),LEN('Special Help Table'!$A643)-LEN(SUBSTITUTE('Special Help Table'!$A643," ","")=20),LEN('Special Help Table'!$A643)-LEN(SUBSTITUTE('Special Help Table'!$A643," and",""))=0,LEN('Special Help Table'!$A643)-LEN(SUBSTITUTE('Special Help Table'!$A643,",","",FIND(" ",'Special Help Table'!$A643)+1))=0),RIGHT('Special Help Table'!$A643,LEN('Special Help Table'!$A643)-FIND(", ",'Special Help Table'!$A643))&amp;" "&amp;LEFT('Special Help Table'!$A643,FIND(",",'Special Help Table'!$A643)-1),AND(LEN('Special Help Table'!$A643)-LEN(SUBSTITUTE('Special Help Table'!$A643,"editor",""))=6,LEN('Special Help Table'!$A643)-LEN(SUBSTITUTE('Special Help Table'!$A643,"(",""))=0,LEN('Special Help Table'!$A643)-LEN(SUBSTITUTE('Special Help Table'!$A643,"and",""))=3,LEN('Special Help Table'!$A643)-LEN(SUBSTITUTE('Special Help Table'!$A643,",",""))=1,LEN('Special Help Table'!$A643)-LEN(SUBSTITUTE('Special Help Table'!$A643," ",""))=3),'Special Help Table'!$A643)</f>
        <v xml:space="preserve"> J.C. Ryle</v>
      </c>
      <c r="C643" s="4" t="s">
        <v>1198</v>
      </c>
      <c r="D643" s="2"/>
      <c r="E643" s="2" t="s">
        <v>16</v>
      </c>
      <c r="F643" s="2" t="s">
        <v>36</v>
      </c>
      <c r="G643" s="2"/>
      <c r="H643" s="2"/>
      <c r="I643" s="2"/>
      <c r="J643" s="2" t="s">
        <v>152</v>
      </c>
      <c r="K643" s="3">
        <v>42966</v>
      </c>
      <c r="L643" s="2"/>
      <c r="M643" s="2"/>
      <c r="N643" s="2" t="s">
        <v>18</v>
      </c>
    </row>
    <row r="644" spans="1:14" ht="15.75" customHeight="1" x14ac:dyDescent="0.35">
      <c r="A644" s="2" t="s">
        <v>1199</v>
      </c>
      <c r="B644" s="2" t="str" cm="1">
        <f t="array" ref="B644">_xlfn.IFS(AND(LEN('Special Help Table'!$A644)-(LEN(SUBSTITUTE('Special Help Table'!$A644,";","")))=0,LEN('Special Help Table'!$A644)-LEN(SUBSTITUTE('Special Help Table'!$A644,",",""))=1,LEN('Special Help Table'!$A644)-LEN(SUBSTITUTE('Special Help Table'!$A644,"and ",""))=0),MID('Special Help Table'!$A644&amp;" "&amp;'Special Help Table'!$A644,SEARCH(", ",'Special Help Table'!$A644)+1,LEN('Special Help Table'!$A644)),AND(LEN('Special Help Table'!$A644)-(LEN(SUBSTITUTE('Special Help Table'!$A644,";","")))=1,LEN('Special Help Table'!$A644)-LEN(SUBSTITUTE('Special Help Table'!$A644,"and ",""))=0),MID('Special Help Table'!$A644,SEARCH(",",'Special Help Table'!$A644)+1,(SEARCH(";",'Special Help Table'!$A644)-1)-SEARCH(",",'Special Help Table'!$A644))&amp;" "&amp;LEFT('Special Help Table'!$A644,SEARCH(",",'Special Help Table'!$A644)-1)&amp;";"&amp;RIGHT('Special Help Table'!$A644,LEN('Special Help Table'!$A644)-SEARCH(",",'Special Help Table'!$A644,SEARCH(";",'Special Help Table'!$A644)))&amp;" "&amp;MID('Special Help Table'!$A644,SEARCH("; ",'Special Help Table'!$A644)+2,SEARCH(",",'Special Help Table'!$A644,SEARCH(";",'Special Help Table'!$A644))-SEARCH(";",'Special Help Table'!$A644)-2),AND(LEN('Special Help Table'!$A644)-LEN(SUBSTITUTE('Special Help Table'!$A644,"and ",""))=0,LEN('Special Help Table'!$A644)-LEN(SUBSTITUTE('Special Help Table'!$A644,";",""))=0),'Special Help Table'!$A644,AND(LEN('Special Help Table'!$A644)-LEN(SUBSTITUTE('Special Help Table'!$A644,",","")=1),LEN('Special Help Table'!$A644)-LEN(SUBSTITUTE('Special Help Table'!$A644," ","")=20),LEN('Special Help Table'!$A644)-LEN(SUBSTITUTE('Special Help Table'!$A644," and",""))=0,LEN('Special Help Table'!$A644)-LEN(SUBSTITUTE('Special Help Table'!$A644,",","",FIND(" ",'Special Help Table'!$A644)+1))=0),RIGHT('Special Help Table'!$A644,LEN('Special Help Table'!$A644)-FIND(", ",'Special Help Table'!$A644))&amp;" "&amp;LEFT('Special Help Table'!$A644,FIND(",",'Special Help Table'!$A644)-1),AND(LEN('Special Help Table'!$A644)-LEN(SUBSTITUTE('Special Help Table'!$A644,"editor",""))=6,LEN('Special Help Table'!$A644)-LEN(SUBSTITUTE('Special Help Table'!$A644,"(",""))=0,LEN('Special Help Table'!$A644)-LEN(SUBSTITUTE('Special Help Table'!$A644,"and",""))=3,LEN('Special Help Table'!$A644)-LEN(SUBSTITUTE('Special Help Table'!$A644,",",""))=1,LEN('Special Help Table'!$A644)-LEN(SUBSTITUTE('Special Help Table'!$A644," ",""))=3),'Special Help Table'!$A644)</f>
        <v xml:space="preserve"> Ken Sande</v>
      </c>
      <c r="C644" s="4" t="s">
        <v>1200</v>
      </c>
      <c r="D644" s="2"/>
      <c r="E644" s="2" t="s">
        <v>16</v>
      </c>
      <c r="F644" s="2" t="s">
        <v>17</v>
      </c>
      <c r="G644" s="2"/>
      <c r="H644" s="2"/>
      <c r="I644" s="2"/>
      <c r="J644" s="2" t="s">
        <v>1201</v>
      </c>
      <c r="K644" s="3">
        <v>40035</v>
      </c>
      <c r="L644" s="2"/>
      <c r="M644" s="2"/>
      <c r="N644" s="2" t="s">
        <v>18</v>
      </c>
    </row>
    <row r="645" spans="1:14" ht="15.75" customHeight="1" x14ac:dyDescent="0.35">
      <c r="A645" s="2" t="s">
        <v>1199</v>
      </c>
      <c r="B645" s="2" t="str" cm="1">
        <f t="array" ref="B645">_xlfn.IFS(AND(LEN('Special Help Table'!$A645)-(LEN(SUBSTITUTE('Special Help Table'!$A645,";","")))=0,LEN('Special Help Table'!$A645)-LEN(SUBSTITUTE('Special Help Table'!$A645,",",""))=1,LEN('Special Help Table'!$A645)-LEN(SUBSTITUTE('Special Help Table'!$A645,"and ",""))=0),MID('Special Help Table'!$A645&amp;" "&amp;'Special Help Table'!$A645,SEARCH(", ",'Special Help Table'!$A645)+1,LEN('Special Help Table'!$A645)),AND(LEN('Special Help Table'!$A645)-(LEN(SUBSTITUTE('Special Help Table'!$A645,";","")))=1,LEN('Special Help Table'!$A645)-LEN(SUBSTITUTE('Special Help Table'!$A645,"and ",""))=0),MID('Special Help Table'!$A645,SEARCH(",",'Special Help Table'!$A645)+1,(SEARCH(";",'Special Help Table'!$A645)-1)-SEARCH(",",'Special Help Table'!$A645))&amp;" "&amp;LEFT('Special Help Table'!$A645,SEARCH(",",'Special Help Table'!$A645)-1)&amp;";"&amp;RIGHT('Special Help Table'!$A645,LEN('Special Help Table'!$A645)-SEARCH(",",'Special Help Table'!$A645,SEARCH(";",'Special Help Table'!$A645)))&amp;" "&amp;MID('Special Help Table'!$A645,SEARCH("; ",'Special Help Table'!$A645)+2,SEARCH(",",'Special Help Table'!$A645,SEARCH(";",'Special Help Table'!$A645))-SEARCH(";",'Special Help Table'!$A645)-2),AND(LEN('Special Help Table'!$A645)-LEN(SUBSTITUTE('Special Help Table'!$A645,"and ",""))=0,LEN('Special Help Table'!$A645)-LEN(SUBSTITUTE('Special Help Table'!$A645,";",""))=0),'Special Help Table'!$A645,AND(LEN('Special Help Table'!$A645)-LEN(SUBSTITUTE('Special Help Table'!$A645,",","")=1),LEN('Special Help Table'!$A645)-LEN(SUBSTITUTE('Special Help Table'!$A645," ","")=20),LEN('Special Help Table'!$A645)-LEN(SUBSTITUTE('Special Help Table'!$A645," and",""))=0,LEN('Special Help Table'!$A645)-LEN(SUBSTITUTE('Special Help Table'!$A645,",","",FIND(" ",'Special Help Table'!$A645)+1))=0),RIGHT('Special Help Table'!$A645,LEN('Special Help Table'!$A645)-FIND(", ",'Special Help Table'!$A645))&amp;" "&amp;LEFT('Special Help Table'!$A645,FIND(",",'Special Help Table'!$A645)-1),AND(LEN('Special Help Table'!$A645)-LEN(SUBSTITUTE('Special Help Table'!$A645,"editor",""))=6,LEN('Special Help Table'!$A645)-LEN(SUBSTITUTE('Special Help Table'!$A645,"(",""))=0,LEN('Special Help Table'!$A645)-LEN(SUBSTITUTE('Special Help Table'!$A645,"and",""))=3,LEN('Special Help Table'!$A645)-LEN(SUBSTITUTE('Special Help Table'!$A645,",",""))=1,LEN('Special Help Table'!$A645)-LEN(SUBSTITUTE('Special Help Table'!$A645," ",""))=3),'Special Help Table'!$A645)</f>
        <v xml:space="preserve"> Ken Sande</v>
      </c>
      <c r="C645" s="4" t="s">
        <v>1202</v>
      </c>
      <c r="D645" s="2"/>
      <c r="E645" s="2" t="s">
        <v>16</v>
      </c>
      <c r="F645" s="2" t="s">
        <v>17</v>
      </c>
      <c r="G645" s="2"/>
      <c r="H645" s="2"/>
      <c r="I645" s="2"/>
      <c r="J645" s="2" t="s">
        <v>1203</v>
      </c>
      <c r="K645" s="3" t="s">
        <v>1204</v>
      </c>
      <c r="L645" s="2"/>
      <c r="M645" s="2"/>
      <c r="N645" s="2" t="s">
        <v>18</v>
      </c>
    </row>
    <row r="646" spans="1:14" ht="15.75" customHeight="1" x14ac:dyDescent="0.35">
      <c r="A646" s="2" t="s">
        <v>1199</v>
      </c>
      <c r="B646" s="2" t="str" cm="1">
        <f t="array" ref="B646">_xlfn.IFS(AND(LEN('Special Help Table'!$A646)-(LEN(SUBSTITUTE('Special Help Table'!$A646,";","")))=0,LEN('Special Help Table'!$A646)-LEN(SUBSTITUTE('Special Help Table'!$A646,",",""))=1,LEN('Special Help Table'!$A646)-LEN(SUBSTITUTE('Special Help Table'!$A646,"and ",""))=0),MID('Special Help Table'!$A646&amp;" "&amp;'Special Help Table'!$A646,SEARCH(", ",'Special Help Table'!$A646)+1,LEN('Special Help Table'!$A646)),AND(LEN('Special Help Table'!$A646)-(LEN(SUBSTITUTE('Special Help Table'!$A646,";","")))=1,LEN('Special Help Table'!$A646)-LEN(SUBSTITUTE('Special Help Table'!$A646,"and ",""))=0),MID('Special Help Table'!$A646,SEARCH(",",'Special Help Table'!$A646)+1,(SEARCH(";",'Special Help Table'!$A646)-1)-SEARCH(",",'Special Help Table'!$A646))&amp;" "&amp;LEFT('Special Help Table'!$A646,SEARCH(",",'Special Help Table'!$A646)-1)&amp;";"&amp;RIGHT('Special Help Table'!$A646,LEN('Special Help Table'!$A646)-SEARCH(",",'Special Help Table'!$A646,SEARCH(";",'Special Help Table'!$A646)))&amp;" "&amp;MID('Special Help Table'!$A646,SEARCH("; ",'Special Help Table'!$A646)+2,SEARCH(",",'Special Help Table'!$A646,SEARCH(";",'Special Help Table'!$A646))-SEARCH(";",'Special Help Table'!$A646)-2),AND(LEN('Special Help Table'!$A646)-LEN(SUBSTITUTE('Special Help Table'!$A646,"and ",""))=0,LEN('Special Help Table'!$A646)-LEN(SUBSTITUTE('Special Help Table'!$A646,";",""))=0),'Special Help Table'!$A646,AND(LEN('Special Help Table'!$A646)-LEN(SUBSTITUTE('Special Help Table'!$A646,",","")=1),LEN('Special Help Table'!$A646)-LEN(SUBSTITUTE('Special Help Table'!$A646," ","")=20),LEN('Special Help Table'!$A646)-LEN(SUBSTITUTE('Special Help Table'!$A646," and",""))=0,LEN('Special Help Table'!$A646)-LEN(SUBSTITUTE('Special Help Table'!$A646,",","",FIND(" ",'Special Help Table'!$A646)+1))=0),RIGHT('Special Help Table'!$A646,LEN('Special Help Table'!$A646)-FIND(", ",'Special Help Table'!$A646))&amp;" "&amp;LEFT('Special Help Table'!$A646,FIND(",",'Special Help Table'!$A646)-1),AND(LEN('Special Help Table'!$A646)-LEN(SUBSTITUTE('Special Help Table'!$A646,"editor",""))=6,LEN('Special Help Table'!$A646)-LEN(SUBSTITUTE('Special Help Table'!$A646,"(",""))=0,LEN('Special Help Table'!$A646)-LEN(SUBSTITUTE('Special Help Table'!$A646,"and",""))=3,LEN('Special Help Table'!$A646)-LEN(SUBSTITUTE('Special Help Table'!$A646,",",""))=1,LEN('Special Help Table'!$A646)-LEN(SUBSTITUTE('Special Help Table'!$A646," ",""))=3),'Special Help Table'!$A646)</f>
        <v xml:space="preserve"> Ken Sande</v>
      </c>
      <c r="C646" s="4" t="s">
        <v>1205</v>
      </c>
      <c r="D646" s="2"/>
      <c r="E646" s="2" t="s">
        <v>16</v>
      </c>
      <c r="F646" s="2" t="s">
        <v>17</v>
      </c>
      <c r="G646" s="2"/>
      <c r="H646" s="2"/>
      <c r="I646" s="2"/>
      <c r="J646" s="2" t="s">
        <v>1201</v>
      </c>
      <c r="K646" s="3">
        <v>41011</v>
      </c>
      <c r="L646" s="2"/>
      <c r="M646" s="2"/>
      <c r="N646" s="2" t="s">
        <v>18</v>
      </c>
    </row>
    <row r="647" spans="1:14" ht="15.75" customHeight="1" x14ac:dyDescent="0.35">
      <c r="A647" s="2" t="s">
        <v>1206</v>
      </c>
      <c r="B647" s="2" t="str" cm="1">
        <f t="array" ref="B647">_xlfn.IFS(AND(LEN('Special Help Table'!$A647)-(LEN(SUBSTITUTE('Special Help Table'!$A647,";","")))=0,LEN('Special Help Table'!$A647)-LEN(SUBSTITUTE('Special Help Table'!$A647,",",""))=1,LEN('Special Help Table'!$A647)-LEN(SUBSTITUTE('Special Help Table'!$A647,"and ",""))=0),MID('Special Help Table'!$A647&amp;" "&amp;'Special Help Table'!$A647,SEARCH(", ",'Special Help Table'!$A647)+1,LEN('Special Help Table'!$A647)),AND(LEN('Special Help Table'!$A647)-(LEN(SUBSTITUTE('Special Help Table'!$A647,";","")))=1,LEN('Special Help Table'!$A647)-LEN(SUBSTITUTE('Special Help Table'!$A647,"and ",""))=0),MID('Special Help Table'!$A647,SEARCH(",",'Special Help Table'!$A647)+1,(SEARCH(";",'Special Help Table'!$A647)-1)-SEARCH(",",'Special Help Table'!$A647))&amp;" "&amp;LEFT('Special Help Table'!$A647,SEARCH(",",'Special Help Table'!$A647)-1)&amp;";"&amp;RIGHT('Special Help Table'!$A647,LEN('Special Help Table'!$A647)-SEARCH(",",'Special Help Table'!$A647,SEARCH(";",'Special Help Table'!$A647)))&amp;" "&amp;MID('Special Help Table'!$A647,SEARCH("; ",'Special Help Table'!$A647)+2,SEARCH(",",'Special Help Table'!$A647,SEARCH(";",'Special Help Table'!$A647))-SEARCH(";",'Special Help Table'!$A647)-2),AND(LEN('Special Help Table'!$A647)-LEN(SUBSTITUTE('Special Help Table'!$A647,"and ",""))=0,LEN('Special Help Table'!$A647)-LEN(SUBSTITUTE('Special Help Table'!$A647,";",""))=0),'Special Help Table'!$A647,AND(LEN('Special Help Table'!$A647)-LEN(SUBSTITUTE('Special Help Table'!$A647,",","")=1),LEN('Special Help Table'!$A647)-LEN(SUBSTITUTE('Special Help Table'!$A647," ","")=20),LEN('Special Help Table'!$A647)-LEN(SUBSTITUTE('Special Help Table'!$A647," and",""))=0,LEN('Special Help Table'!$A647)-LEN(SUBSTITUTE('Special Help Table'!$A647,",","",FIND(" ",'Special Help Table'!$A647)+1))=0),RIGHT('Special Help Table'!$A647,LEN('Special Help Table'!$A647)-FIND(", ",'Special Help Table'!$A647))&amp;" "&amp;LEFT('Special Help Table'!$A647,FIND(",",'Special Help Table'!$A647)-1),AND(LEN('Special Help Table'!$A647)-LEN(SUBSTITUTE('Special Help Table'!$A647,"editor",""))=6,LEN('Special Help Table'!$A647)-LEN(SUBSTITUTE('Special Help Table'!$A647,"(",""))=0,LEN('Special Help Table'!$A647)-LEN(SUBSTITUTE('Special Help Table'!$A647,"and",""))=3,LEN('Special Help Table'!$A647)-LEN(SUBSTITUTE('Special Help Table'!$A647,",",""))=1,LEN('Special Help Table'!$A647)-LEN(SUBSTITUTE('Special Help Table'!$A647," ",""))=3),'Special Help Table'!$A647)</f>
        <v xml:space="preserve"> J. Oswald Sanders</v>
      </c>
      <c r="C647" s="4" t="s">
        <v>1207</v>
      </c>
      <c r="D647" s="2"/>
      <c r="E647" s="2" t="s">
        <v>16</v>
      </c>
      <c r="F647" s="2" t="s">
        <v>28</v>
      </c>
      <c r="G647" s="2"/>
      <c r="H647" s="2"/>
      <c r="I647" s="2"/>
      <c r="J647" s="2"/>
      <c r="K647" s="3">
        <v>40036</v>
      </c>
      <c r="L647" s="2"/>
      <c r="M647" s="2"/>
      <c r="N647" s="2" t="s">
        <v>18</v>
      </c>
    </row>
    <row r="648" spans="1:14" ht="15.75" customHeight="1" x14ac:dyDescent="0.35">
      <c r="A648" s="2" t="s">
        <v>1206</v>
      </c>
      <c r="B648" s="2" t="str" cm="1">
        <f t="array" ref="B648">_xlfn.IFS(AND(LEN('Special Help Table'!$A648)-(LEN(SUBSTITUTE('Special Help Table'!$A648,";","")))=0,LEN('Special Help Table'!$A648)-LEN(SUBSTITUTE('Special Help Table'!$A648,",",""))=1,LEN('Special Help Table'!$A648)-LEN(SUBSTITUTE('Special Help Table'!$A648,"and ",""))=0),MID('Special Help Table'!$A648&amp;" "&amp;'Special Help Table'!$A648,SEARCH(", ",'Special Help Table'!$A648)+1,LEN('Special Help Table'!$A648)),AND(LEN('Special Help Table'!$A648)-(LEN(SUBSTITUTE('Special Help Table'!$A648,";","")))=1,LEN('Special Help Table'!$A648)-LEN(SUBSTITUTE('Special Help Table'!$A648,"and ",""))=0),MID('Special Help Table'!$A648,SEARCH(",",'Special Help Table'!$A648)+1,(SEARCH(";",'Special Help Table'!$A648)-1)-SEARCH(",",'Special Help Table'!$A648))&amp;" "&amp;LEFT('Special Help Table'!$A648,SEARCH(",",'Special Help Table'!$A648)-1)&amp;";"&amp;RIGHT('Special Help Table'!$A648,LEN('Special Help Table'!$A648)-SEARCH(",",'Special Help Table'!$A648,SEARCH(";",'Special Help Table'!$A648)))&amp;" "&amp;MID('Special Help Table'!$A648,SEARCH("; ",'Special Help Table'!$A648)+2,SEARCH(",",'Special Help Table'!$A648,SEARCH(";",'Special Help Table'!$A648))-SEARCH(";",'Special Help Table'!$A648)-2),AND(LEN('Special Help Table'!$A648)-LEN(SUBSTITUTE('Special Help Table'!$A648,"and ",""))=0,LEN('Special Help Table'!$A648)-LEN(SUBSTITUTE('Special Help Table'!$A648,";",""))=0),'Special Help Table'!$A648,AND(LEN('Special Help Table'!$A648)-LEN(SUBSTITUTE('Special Help Table'!$A648,",","")=1),LEN('Special Help Table'!$A648)-LEN(SUBSTITUTE('Special Help Table'!$A648," ","")=20),LEN('Special Help Table'!$A648)-LEN(SUBSTITUTE('Special Help Table'!$A648," and",""))=0,LEN('Special Help Table'!$A648)-LEN(SUBSTITUTE('Special Help Table'!$A648,",","",FIND(" ",'Special Help Table'!$A648)+1))=0),RIGHT('Special Help Table'!$A648,LEN('Special Help Table'!$A648)-FIND(", ",'Special Help Table'!$A648))&amp;" "&amp;LEFT('Special Help Table'!$A648,FIND(",",'Special Help Table'!$A648)-1),AND(LEN('Special Help Table'!$A648)-LEN(SUBSTITUTE('Special Help Table'!$A648,"editor",""))=6,LEN('Special Help Table'!$A648)-LEN(SUBSTITUTE('Special Help Table'!$A648,"(",""))=0,LEN('Special Help Table'!$A648)-LEN(SUBSTITUTE('Special Help Table'!$A648,"and",""))=3,LEN('Special Help Table'!$A648)-LEN(SUBSTITUTE('Special Help Table'!$A648,",",""))=1,LEN('Special Help Table'!$A648)-LEN(SUBSTITUTE('Special Help Table'!$A648," ",""))=3),'Special Help Table'!$A648)</f>
        <v xml:space="preserve"> J. Oswald Sanders</v>
      </c>
      <c r="C648" s="4" t="s">
        <v>1208</v>
      </c>
      <c r="D648" s="2"/>
      <c r="E648" s="2" t="s">
        <v>16</v>
      </c>
      <c r="F648" s="2" t="s">
        <v>36</v>
      </c>
      <c r="G648" s="2"/>
      <c r="H648" s="2"/>
      <c r="I648" s="2"/>
      <c r="J648" s="2" t="s">
        <v>52</v>
      </c>
      <c r="K648" s="3">
        <v>40037</v>
      </c>
      <c r="L648" s="2"/>
      <c r="M648" s="2"/>
      <c r="N648" s="2" t="s">
        <v>18</v>
      </c>
    </row>
    <row r="649" spans="1:14" ht="15.75" customHeight="1" x14ac:dyDescent="0.35">
      <c r="A649" s="2" t="s">
        <v>1209</v>
      </c>
      <c r="B649" s="2" t="str" cm="1">
        <f t="array" ref="B649">_xlfn.IFS(AND(LEN('Special Help Table'!$A649)-(LEN(SUBSTITUTE('Special Help Table'!$A649,";","")))=0,LEN('Special Help Table'!$A649)-LEN(SUBSTITUTE('Special Help Table'!$A649,",",""))=1,LEN('Special Help Table'!$A649)-LEN(SUBSTITUTE('Special Help Table'!$A649,"and ",""))=0),MID('Special Help Table'!$A649&amp;" "&amp;'Special Help Table'!$A649,SEARCH(", ",'Special Help Table'!$A649)+1,LEN('Special Help Table'!$A649)),AND(LEN('Special Help Table'!$A649)-(LEN(SUBSTITUTE('Special Help Table'!$A649,";","")))=1,LEN('Special Help Table'!$A649)-LEN(SUBSTITUTE('Special Help Table'!$A649,"and ",""))=0),MID('Special Help Table'!$A649,SEARCH(",",'Special Help Table'!$A649)+1,(SEARCH(";",'Special Help Table'!$A649)-1)-SEARCH(",",'Special Help Table'!$A649))&amp;" "&amp;LEFT('Special Help Table'!$A649,SEARCH(",",'Special Help Table'!$A649)-1)&amp;";"&amp;RIGHT('Special Help Table'!$A649,LEN('Special Help Table'!$A649)-SEARCH(",",'Special Help Table'!$A649,SEARCH(";",'Special Help Table'!$A649)))&amp;" "&amp;MID('Special Help Table'!$A649,SEARCH("; ",'Special Help Table'!$A649)+2,SEARCH(",",'Special Help Table'!$A649,SEARCH(";",'Special Help Table'!$A649))-SEARCH(";",'Special Help Table'!$A649)-2),AND(LEN('Special Help Table'!$A649)-LEN(SUBSTITUTE('Special Help Table'!$A649,"and ",""))=0,LEN('Special Help Table'!$A649)-LEN(SUBSTITUTE('Special Help Table'!$A649,";",""))=0),'Special Help Table'!$A649,AND(LEN('Special Help Table'!$A649)-LEN(SUBSTITUTE('Special Help Table'!$A649,",","")=1),LEN('Special Help Table'!$A649)-LEN(SUBSTITUTE('Special Help Table'!$A649," ","")=20),LEN('Special Help Table'!$A649)-LEN(SUBSTITUTE('Special Help Table'!$A649," and",""))=0,LEN('Special Help Table'!$A649)-LEN(SUBSTITUTE('Special Help Table'!$A649,",","",FIND(" ",'Special Help Table'!$A649)+1))=0),RIGHT('Special Help Table'!$A649,LEN('Special Help Table'!$A649)-FIND(", ",'Special Help Table'!$A649))&amp;" "&amp;LEFT('Special Help Table'!$A649,FIND(",",'Special Help Table'!$A649)-1),AND(LEN('Special Help Table'!$A649)-LEN(SUBSTITUTE('Special Help Table'!$A649,"editor",""))=6,LEN('Special Help Table'!$A649)-LEN(SUBSTITUTE('Special Help Table'!$A649,"(",""))=0,LEN('Special Help Table'!$A649)-LEN(SUBSTITUTE('Special Help Table'!$A649,"and",""))=3,LEN('Special Help Table'!$A649)-LEN(SUBSTITUTE('Special Help Table'!$A649,",",""))=1,LEN('Special Help Table'!$A649)-LEN(SUBSTITUTE('Special Help Table'!$A649," ",""))=3),'Special Help Table'!$A649)</f>
        <v xml:space="preserve"> Robert L. Saucy</v>
      </c>
      <c r="C649" s="4" t="s">
        <v>1210</v>
      </c>
      <c r="D649" s="2"/>
      <c r="E649" s="2" t="s">
        <v>16</v>
      </c>
      <c r="F649" s="2" t="s">
        <v>33</v>
      </c>
      <c r="G649" s="2"/>
      <c r="H649" s="2"/>
      <c r="I649" s="2"/>
      <c r="J649" s="2"/>
      <c r="K649" s="3">
        <v>40038</v>
      </c>
      <c r="L649" s="2"/>
      <c r="M649" s="2"/>
      <c r="N649" s="2" t="s">
        <v>18</v>
      </c>
    </row>
    <row r="650" spans="1:14" ht="15.75" customHeight="1" x14ac:dyDescent="0.35">
      <c r="A650" s="2" t="s">
        <v>1211</v>
      </c>
      <c r="B650" s="2" t="str" cm="1">
        <f t="array" ref="B650">_xlfn.IFS(AND(LEN('Special Help Table'!$A650)-(LEN(SUBSTITUTE('Special Help Table'!$A650,";","")))=0,LEN('Special Help Table'!$A650)-LEN(SUBSTITUTE('Special Help Table'!$A650,",",""))=1,LEN('Special Help Table'!$A650)-LEN(SUBSTITUTE('Special Help Table'!$A650,"and ",""))=0),MID('Special Help Table'!$A650&amp;" "&amp;'Special Help Table'!$A650,SEARCH(", ",'Special Help Table'!$A650)+1,LEN('Special Help Table'!$A650)),AND(LEN('Special Help Table'!$A650)-(LEN(SUBSTITUTE('Special Help Table'!$A650,";","")))=1,LEN('Special Help Table'!$A650)-LEN(SUBSTITUTE('Special Help Table'!$A650,"and ",""))=0),MID('Special Help Table'!$A650,SEARCH(",",'Special Help Table'!$A650)+1,(SEARCH(";",'Special Help Table'!$A650)-1)-SEARCH(",",'Special Help Table'!$A650))&amp;" "&amp;LEFT('Special Help Table'!$A650,SEARCH(",",'Special Help Table'!$A650)-1)&amp;";"&amp;RIGHT('Special Help Table'!$A650,LEN('Special Help Table'!$A650)-SEARCH(",",'Special Help Table'!$A650,SEARCH(";",'Special Help Table'!$A650)))&amp;" "&amp;MID('Special Help Table'!$A650,SEARCH("; ",'Special Help Table'!$A650)+2,SEARCH(",",'Special Help Table'!$A650,SEARCH(";",'Special Help Table'!$A650))-SEARCH(";",'Special Help Table'!$A650)-2),AND(LEN('Special Help Table'!$A650)-LEN(SUBSTITUTE('Special Help Table'!$A650,"and ",""))=0,LEN('Special Help Table'!$A650)-LEN(SUBSTITUTE('Special Help Table'!$A650,";",""))=0),'Special Help Table'!$A650,AND(LEN('Special Help Table'!$A650)-LEN(SUBSTITUTE('Special Help Table'!$A650,",","")=1),LEN('Special Help Table'!$A650)-LEN(SUBSTITUTE('Special Help Table'!$A650," ","")=20),LEN('Special Help Table'!$A650)-LEN(SUBSTITUTE('Special Help Table'!$A650," and",""))=0,LEN('Special Help Table'!$A650)-LEN(SUBSTITUTE('Special Help Table'!$A650,",","",FIND(" ",'Special Help Table'!$A650)+1))=0),RIGHT('Special Help Table'!$A650,LEN('Special Help Table'!$A650)-FIND(", ",'Special Help Table'!$A650))&amp;" "&amp;LEFT('Special Help Table'!$A650,FIND(",",'Special Help Table'!$A650)-1),AND(LEN('Special Help Table'!$A650)-LEN(SUBSTITUTE('Special Help Table'!$A650,"editor",""))=6,LEN('Special Help Table'!$A650)-LEN(SUBSTITUTE('Special Help Table'!$A650,"(",""))=0,LEN('Special Help Table'!$A650)-LEN(SUBSTITUTE('Special Help Table'!$A650,"and",""))=3,LEN('Special Help Table'!$A650)-LEN(SUBSTITUTE('Special Help Table'!$A650,",",""))=1,LEN('Special Help Table'!$A650)-LEN(SUBSTITUTE('Special Help Table'!$A650," ",""))=3),'Special Help Table'!$A650)</f>
        <v xml:space="preserve"> Francis A. Schaeffer</v>
      </c>
      <c r="C650" s="4" t="s">
        <v>1212</v>
      </c>
      <c r="D650" s="2"/>
      <c r="E650" s="2" t="s">
        <v>16</v>
      </c>
      <c r="F650" s="2" t="s">
        <v>20</v>
      </c>
      <c r="G650" s="2"/>
      <c r="H650" s="2"/>
      <c r="I650" s="2"/>
      <c r="J650" s="2" t="s">
        <v>142</v>
      </c>
      <c r="K650" s="3">
        <v>40039</v>
      </c>
      <c r="L650" s="2"/>
      <c r="M650" s="2"/>
      <c r="N650" s="2" t="s">
        <v>18</v>
      </c>
    </row>
    <row r="651" spans="1:14" ht="15.75" customHeight="1" x14ac:dyDescent="0.35">
      <c r="A651" s="2" t="s">
        <v>1211</v>
      </c>
      <c r="B651" s="2" t="str" cm="1">
        <f t="array" ref="B651">_xlfn.IFS(AND(LEN('Special Help Table'!$A651)-(LEN(SUBSTITUTE('Special Help Table'!$A651,";","")))=0,LEN('Special Help Table'!$A651)-LEN(SUBSTITUTE('Special Help Table'!$A651,",",""))=1,LEN('Special Help Table'!$A651)-LEN(SUBSTITUTE('Special Help Table'!$A651,"and ",""))=0),MID('Special Help Table'!$A651&amp;" "&amp;'Special Help Table'!$A651,SEARCH(", ",'Special Help Table'!$A651)+1,LEN('Special Help Table'!$A651)),AND(LEN('Special Help Table'!$A651)-(LEN(SUBSTITUTE('Special Help Table'!$A651,";","")))=1,LEN('Special Help Table'!$A651)-LEN(SUBSTITUTE('Special Help Table'!$A651,"and ",""))=0),MID('Special Help Table'!$A651,SEARCH(",",'Special Help Table'!$A651)+1,(SEARCH(";",'Special Help Table'!$A651)-1)-SEARCH(",",'Special Help Table'!$A651))&amp;" "&amp;LEFT('Special Help Table'!$A651,SEARCH(",",'Special Help Table'!$A651)-1)&amp;";"&amp;RIGHT('Special Help Table'!$A651,LEN('Special Help Table'!$A651)-SEARCH(",",'Special Help Table'!$A651,SEARCH(";",'Special Help Table'!$A651)))&amp;" "&amp;MID('Special Help Table'!$A651,SEARCH("; ",'Special Help Table'!$A651)+2,SEARCH(",",'Special Help Table'!$A651,SEARCH(";",'Special Help Table'!$A651))-SEARCH(";",'Special Help Table'!$A651)-2),AND(LEN('Special Help Table'!$A651)-LEN(SUBSTITUTE('Special Help Table'!$A651,"and ",""))=0,LEN('Special Help Table'!$A651)-LEN(SUBSTITUTE('Special Help Table'!$A651,";",""))=0),'Special Help Table'!$A651,AND(LEN('Special Help Table'!$A651)-LEN(SUBSTITUTE('Special Help Table'!$A651,",","")=1),LEN('Special Help Table'!$A651)-LEN(SUBSTITUTE('Special Help Table'!$A651," ","")=20),LEN('Special Help Table'!$A651)-LEN(SUBSTITUTE('Special Help Table'!$A651," and",""))=0,LEN('Special Help Table'!$A651)-LEN(SUBSTITUTE('Special Help Table'!$A651,",","",FIND(" ",'Special Help Table'!$A651)+1))=0),RIGHT('Special Help Table'!$A651,LEN('Special Help Table'!$A651)-FIND(", ",'Special Help Table'!$A651))&amp;" "&amp;LEFT('Special Help Table'!$A651,FIND(",",'Special Help Table'!$A651)-1),AND(LEN('Special Help Table'!$A651)-LEN(SUBSTITUTE('Special Help Table'!$A651,"editor",""))=6,LEN('Special Help Table'!$A651)-LEN(SUBSTITUTE('Special Help Table'!$A651,"(",""))=0,LEN('Special Help Table'!$A651)-LEN(SUBSTITUTE('Special Help Table'!$A651,"and",""))=3,LEN('Special Help Table'!$A651)-LEN(SUBSTITUTE('Special Help Table'!$A651,",",""))=1,LEN('Special Help Table'!$A651)-LEN(SUBSTITUTE('Special Help Table'!$A651," ",""))=3),'Special Help Table'!$A651)</f>
        <v xml:space="preserve"> Francis A. Schaeffer</v>
      </c>
      <c r="C651" s="4" t="s">
        <v>1213</v>
      </c>
      <c r="D651" s="2"/>
      <c r="E651" s="2" t="s">
        <v>16</v>
      </c>
      <c r="F651" s="2" t="s">
        <v>20</v>
      </c>
      <c r="G651" s="2"/>
      <c r="H651" s="2"/>
      <c r="I651" s="2"/>
      <c r="J651" s="2" t="s">
        <v>1214</v>
      </c>
      <c r="K651" s="3">
        <v>40026</v>
      </c>
      <c r="L651" s="2"/>
      <c r="M651" s="2"/>
      <c r="N651" s="2" t="s">
        <v>18</v>
      </c>
    </row>
    <row r="652" spans="1:14" ht="15.75" customHeight="1" x14ac:dyDescent="0.35">
      <c r="A652" s="2" t="s">
        <v>1211</v>
      </c>
      <c r="B652" s="2" t="str" cm="1">
        <f t="array" ref="B652">_xlfn.IFS(AND(LEN('Special Help Table'!$A652)-(LEN(SUBSTITUTE('Special Help Table'!$A652,";","")))=0,LEN('Special Help Table'!$A652)-LEN(SUBSTITUTE('Special Help Table'!$A652,",",""))=1,LEN('Special Help Table'!$A652)-LEN(SUBSTITUTE('Special Help Table'!$A652,"and ",""))=0),MID('Special Help Table'!$A652&amp;" "&amp;'Special Help Table'!$A652,SEARCH(", ",'Special Help Table'!$A652)+1,LEN('Special Help Table'!$A652)),AND(LEN('Special Help Table'!$A652)-(LEN(SUBSTITUTE('Special Help Table'!$A652,";","")))=1,LEN('Special Help Table'!$A652)-LEN(SUBSTITUTE('Special Help Table'!$A652,"and ",""))=0),MID('Special Help Table'!$A652,SEARCH(",",'Special Help Table'!$A652)+1,(SEARCH(";",'Special Help Table'!$A652)-1)-SEARCH(",",'Special Help Table'!$A652))&amp;" "&amp;LEFT('Special Help Table'!$A652,SEARCH(",",'Special Help Table'!$A652)-1)&amp;";"&amp;RIGHT('Special Help Table'!$A652,LEN('Special Help Table'!$A652)-SEARCH(",",'Special Help Table'!$A652,SEARCH(";",'Special Help Table'!$A652)))&amp;" "&amp;MID('Special Help Table'!$A652,SEARCH("; ",'Special Help Table'!$A652)+2,SEARCH(",",'Special Help Table'!$A652,SEARCH(";",'Special Help Table'!$A652))-SEARCH(";",'Special Help Table'!$A652)-2),AND(LEN('Special Help Table'!$A652)-LEN(SUBSTITUTE('Special Help Table'!$A652,"and ",""))=0,LEN('Special Help Table'!$A652)-LEN(SUBSTITUTE('Special Help Table'!$A652,";",""))=0),'Special Help Table'!$A652,AND(LEN('Special Help Table'!$A652)-LEN(SUBSTITUTE('Special Help Table'!$A652,",","")=1),LEN('Special Help Table'!$A652)-LEN(SUBSTITUTE('Special Help Table'!$A652," ","")=20),LEN('Special Help Table'!$A652)-LEN(SUBSTITUTE('Special Help Table'!$A652," and",""))=0,LEN('Special Help Table'!$A652)-LEN(SUBSTITUTE('Special Help Table'!$A652,",","",FIND(" ",'Special Help Table'!$A652)+1))=0),RIGHT('Special Help Table'!$A652,LEN('Special Help Table'!$A652)-FIND(", ",'Special Help Table'!$A652))&amp;" "&amp;LEFT('Special Help Table'!$A652,FIND(",",'Special Help Table'!$A652)-1),AND(LEN('Special Help Table'!$A652)-LEN(SUBSTITUTE('Special Help Table'!$A652,"editor",""))=6,LEN('Special Help Table'!$A652)-LEN(SUBSTITUTE('Special Help Table'!$A652,"(",""))=0,LEN('Special Help Table'!$A652)-LEN(SUBSTITUTE('Special Help Table'!$A652,"and",""))=3,LEN('Special Help Table'!$A652)-LEN(SUBSTITUTE('Special Help Table'!$A652,",",""))=1,LEN('Special Help Table'!$A652)-LEN(SUBSTITUTE('Special Help Table'!$A652," ",""))=3),'Special Help Table'!$A652)</f>
        <v xml:space="preserve"> Francis A. Schaeffer</v>
      </c>
      <c r="C652" s="4" t="s">
        <v>1215</v>
      </c>
      <c r="D652" s="2"/>
      <c r="E652" s="2" t="s">
        <v>16</v>
      </c>
      <c r="F652" s="2" t="s">
        <v>20</v>
      </c>
      <c r="G652" s="2"/>
      <c r="H652" s="2"/>
      <c r="I652" s="2"/>
      <c r="J652" s="2" t="s">
        <v>1216</v>
      </c>
      <c r="K652" s="3">
        <v>40041</v>
      </c>
      <c r="L652" s="2"/>
      <c r="M652" s="2"/>
      <c r="N652" s="2" t="s">
        <v>18</v>
      </c>
    </row>
    <row r="653" spans="1:14" ht="15.75" customHeight="1" x14ac:dyDescent="0.35">
      <c r="A653" s="2" t="s">
        <v>1217</v>
      </c>
      <c r="B653" s="2" t="str" cm="1">
        <f t="array" ref="B653">_xlfn.IFS(AND(LEN('Special Help Table'!$A653)-(LEN(SUBSTITUTE('Special Help Table'!$A653,";","")))=0,LEN('Special Help Table'!$A653)-LEN(SUBSTITUTE('Special Help Table'!$A653,",",""))=1,LEN('Special Help Table'!$A653)-LEN(SUBSTITUTE('Special Help Table'!$A653,"and ",""))=0),MID('Special Help Table'!$A653&amp;" "&amp;'Special Help Table'!$A653,SEARCH(", ",'Special Help Table'!$A653)+1,LEN('Special Help Table'!$A653)),AND(LEN('Special Help Table'!$A653)-(LEN(SUBSTITUTE('Special Help Table'!$A653,";","")))=1,LEN('Special Help Table'!$A653)-LEN(SUBSTITUTE('Special Help Table'!$A653,"and ",""))=0),MID('Special Help Table'!$A653,SEARCH(",",'Special Help Table'!$A653)+1,(SEARCH(";",'Special Help Table'!$A653)-1)-SEARCH(",",'Special Help Table'!$A653))&amp;" "&amp;LEFT('Special Help Table'!$A653,SEARCH(",",'Special Help Table'!$A653)-1)&amp;";"&amp;RIGHT('Special Help Table'!$A653,LEN('Special Help Table'!$A653)-SEARCH(",",'Special Help Table'!$A653,SEARCH(";",'Special Help Table'!$A653)))&amp;" "&amp;MID('Special Help Table'!$A653,SEARCH("; ",'Special Help Table'!$A653)+2,SEARCH(",",'Special Help Table'!$A653,SEARCH(";",'Special Help Table'!$A653))-SEARCH(";",'Special Help Table'!$A653)-2),AND(LEN('Special Help Table'!$A653)-LEN(SUBSTITUTE('Special Help Table'!$A653,"and ",""))=0,LEN('Special Help Table'!$A653)-LEN(SUBSTITUTE('Special Help Table'!$A653,";",""))=0),'Special Help Table'!$A653,AND(LEN('Special Help Table'!$A653)-LEN(SUBSTITUTE('Special Help Table'!$A653,",","")=1),LEN('Special Help Table'!$A653)-LEN(SUBSTITUTE('Special Help Table'!$A653," ","")=20),LEN('Special Help Table'!$A653)-LEN(SUBSTITUTE('Special Help Table'!$A653," and",""))=0,LEN('Special Help Table'!$A653)-LEN(SUBSTITUTE('Special Help Table'!$A653,",","",FIND(" ",'Special Help Table'!$A653)+1))=0),RIGHT('Special Help Table'!$A653,LEN('Special Help Table'!$A653)-FIND(", ",'Special Help Table'!$A653))&amp;" "&amp;LEFT('Special Help Table'!$A653,FIND(",",'Special Help Table'!$A653)-1),AND(LEN('Special Help Table'!$A653)-LEN(SUBSTITUTE('Special Help Table'!$A653,"editor",""))=6,LEN('Special Help Table'!$A653)-LEN(SUBSTITUTE('Special Help Table'!$A653,"(",""))=0,LEN('Special Help Table'!$A653)-LEN(SUBSTITUTE('Special Help Table'!$A653,"and",""))=3,LEN('Special Help Table'!$A653)-LEN(SUBSTITUTE('Special Help Table'!$A653,",",""))=1,LEN('Special Help Table'!$A653)-LEN(SUBSTITUTE('Special Help Table'!$A653," ",""))=3),'Special Help Table'!$A653)</f>
        <v xml:space="preserve"> Patrick Schreiner</v>
      </c>
      <c r="C653" s="4" t="s">
        <v>1218</v>
      </c>
      <c r="D653" s="2"/>
      <c r="E653" s="2" t="s">
        <v>16</v>
      </c>
      <c r="F653" s="2" t="s">
        <v>28</v>
      </c>
      <c r="G653" s="2"/>
      <c r="H653" s="2"/>
      <c r="I653" s="2"/>
      <c r="J653" s="2"/>
      <c r="K653" s="3"/>
      <c r="L653" s="2"/>
      <c r="M653" s="2"/>
      <c r="N653" s="2" t="s">
        <v>18</v>
      </c>
    </row>
    <row r="654" spans="1:14" ht="15.75" customHeight="1" x14ac:dyDescent="0.35">
      <c r="A654" s="2" t="s">
        <v>1219</v>
      </c>
      <c r="B654" s="2" t="str" cm="1">
        <f t="array" ref="B654">_xlfn.IFS(AND(LEN('Special Help Table'!$A654)-(LEN(SUBSTITUTE('Special Help Table'!$A654,";","")))=0,LEN('Special Help Table'!$A654)-LEN(SUBSTITUTE('Special Help Table'!$A654,",",""))=1,LEN('Special Help Table'!$A654)-LEN(SUBSTITUTE('Special Help Table'!$A654,"and ",""))=0),MID('Special Help Table'!$A654&amp;" "&amp;'Special Help Table'!$A654,SEARCH(", ",'Special Help Table'!$A654)+1,LEN('Special Help Table'!$A654)),AND(LEN('Special Help Table'!$A654)-(LEN(SUBSTITUTE('Special Help Table'!$A654,";","")))=1,LEN('Special Help Table'!$A654)-LEN(SUBSTITUTE('Special Help Table'!$A654,"and ",""))=0),MID('Special Help Table'!$A654,SEARCH(",",'Special Help Table'!$A654)+1,(SEARCH(";",'Special Help Table'!$A654)-1)-SEARCH(",",'Special Help Table'!$A654))&amp;" "&amp;LEFT('Special Help Table'!$A654,SEARCH(",",'Special Help Table'!$A654)-1)&amp;";"&amp;RIGHT('Special Help Table'!$A654,LEN('Special Help Table'!$A654)-SEARCH(",",'Special Help Table'!$A654,SEARCH(";",'Special Help Table'!$A654)))&amp;" "&amp;MID('Special Help Table'!$A654,SEARCH("; ",'Special Help Table'!$A654)+2,SEARCH(",",'Special Help Table'!$A654,SEARCH(";",'Special Help Table'!$A654))-SEARCH(";",'Special Help Table'!$A654)-2),AND(LEN('Special Help Table'!$A654)-LEN(SUBSTITUTE('Special Help Table'!$A654,"and ",""))=0,LEN('Special Help Table'!$A654)-LEN(SUBSTITUTE('Special Help Table'!$A654,";",""))=0),'Special Help Table'!$A654,AND(LEN('Special Help Table'!$A654)-LEN(SUBSTITUTE('Special Help Table'!$A654,",","")=1),LEN('Special Help Table'!$A654)-LEN(SUBSTITUTE('Special Help Table'!$A654," ","")=20),LEN('Special Help Table'!$A654)-LEN(SUBSTITUTE('Special Help Table'!$A654," and",""))=0,LEN('Special Help Table'!$A654)-LEN(SUBSTITUTE('Special Help Table'!$A654,",","",FIND(" ",'Special Help Table'!$A654)+1))=0),RIGHT('Special Help Table'!$A654,LEN('Special Help Table'!$A654)-FIND(", ",'Special Help Table'!$A654))&amp;" "&amp;LEFT('Special Help Table'!$A654,FIND(",",'Special Help Table'!$A654)-1),AND(LEN('Special Help Table'!$A654)-LEN(SUBSTITUTE('Special Help Table'!$A654,"editor",""))=6,LEN('Special Help Table'!$A654)-LEN(SUBSTITUTE('Special Help Table'!$A654,"(",""))=0,LEN('Special Help Table'!$A654)-LEN(SUBSTITUTE('Special Help Table'!$A654,"and",""))=3,LEN('Special Help Table'!$A654)-LEN(SUBSTITUTE('Special Help Table'!$A654,",",""))=1,LEN('Special Help Table'!$A654)-LEN(SUBSTITUTE('Special Help Table'!$A654," ",""))=3),'Special Help Table'!$A654)</f>
        <v xml:space="preserve"> Thomas R. Schreiner</v>
      </c>
      <c r="C654" s="4" t="s">
        <v>1220</v>
      </c>
      <c r="D654" s="2" t="s">
        <v>75</v>
      </c>
      <c r="E654" s="2" t="s">
        <v>16</v>
      </c>
      <c r="F654" s="2" t="s">
        <v>28</v>
      </c>
      <c r="G654" s="2"/>
      <c r="H654" s="2"/>
      <c r="I654" s="2"/>
      <c r="J654" s="2"/>
      <c r="K654" s="3">
        <v>43095</v>
      </c>
      <c r="L654" s="2"/>
      <c r="M654" s="2"/>
      <c r="N654" s="2" t="s">
        <v>18</v>
      </c>
    </row>
    <row r="655" spans="1:14" ht="15.75" customHeight="1" x14ac:dyDescent="0.35">
      <c r="A655" s="2" t="s">
        <v>1221</v>
      </c>
      <c r="B655" s="2" t="str" cm="1">
        <f t="array" ref="B655">_xlfn.IFS(AND(LEN('Special Help Table'!$A655)-(LEN(SUBSTITUTE('Special Help Table'!$A655,";","")))=0,LEN('Special Help Table'!$A655)-LEN(SUBSTITUTE('Special Help Table'!$A655,",",""))=1,LEN('Special Help Table'!$A655)-LEN(SUBSTITUTE('Special Help Table'!$A655,"and ",""))=0),MID('Special Help Table'!$A655&amp;" "&amp;'Special Help Table'!$A655,SEARCH(", ",'Special Help Table'!$A655)+1,LEN('Special Help Table'!$A655)),AND(LEN('Special Help Table'!$A655)-(LEN(SUBSTITUTE('Special Help Table'!$A655,";","")))=1,LEN('Special Help Table'!$A655)-LEN(SUBSTITUTE('Special Help Table'!$A655,"and ",""))=0),MID('Special Help Table'!$A655,SEARCH(",",'Special Help Table'!$A655)+1,(SEARCH(";",'Special Help Table'!$A655)-1)-SEARCH(",",'Special Help Table'!$A655))&amp;" "&amp;LEFT('Special Help Table'!$A655,SEARCH(",",'Special Help Table'!$A655)-1)&amp;";"&amp;RIGHT('Special Help Table'!$A655,LEN('Special Help Table'!$A655)-SEARCH(",",'Special Help Table'!$A655,SEARCH(";",'Special Help Table'!$A655)))&amp;" "&amp;MID('Special Help Table'!$A655,SEARCH("; ",'Special Help Table'!$A655)+2,SEARCH(",",'Special Help Table'!$A655,SEARCH(";",'Special Help Table'!$A655))-SEARCH(";",'Special Help Table'!$A655)-2),AND(LEN('Special Help Table'!$A655)-LEN(SUBSTITUTE('Special Help Table'!$A655,"and ",""))=0,LEN('Special Help Table'!$A655)-LEN(SUBSTITUTE('Special Help Table'!$A655,";",""))=0),'Special Help Table'!$A655,AND(LEN('Special Help Table'!$A655)-LEN(SUBSTITUTE('Special Help Table'!$A655,",","")=1),LEN('Special Help Table'!$A655)-LEN(SUBSTITUTE('Special Help Table'!$A655," ","")=20),LEN('Special Help Table'!$A655)-LEN(SUBSTITUTE('Special Help Table'!$A655," and",""))=0,LEN('Special Help Table'!$A655)-LEN(SUBSTITUTE('Special Help Table'!$A655,",","",FIND(" ",'Special Help Table'!$A655)+1))=0),RIGHT('Special Help Table'!$A655,LEN('Special Help Table'!$A655)-FIND(", ",'Special Help Table'!$A655))&amp;" "&amp;LEFT('Special Help Table'!$A655,FIND(",",'Special Help Table'!$A655)-1),AND(LEN('Special Help Table'!$A655)-LEN(SUBSTITUTE('Special Help Table'!$A655,"editor",""))=6,LEN('Special Help Table'!$A655)-LEN(SUBSTITUTE('Special Help Table'!$A655,"(",""))=0,LEN('Special Help Table'!$A655)-LEN(SUBSTITUTE('Special Help Table'!$A655,"and",""))=3,LEN('Special Help Table'!$A655)-LEN(SUBSTITUTE('Special Help Table'!$A655,",",""))=1,LEN('Special Help Table'!$A655)-LEN(SUBSTITUTE('Special Help Table'!$A655," ",""))=3),'Special Help Table'!$A655)</f>
        <v xml:space="preserve"> Thomas R. Schreiner; Andreas Kostenberger</v>
      </c>
      <c r="C655" s="4" t="s">
        <v>1222</v>
      </c>
      <c r="D655" s="2" t="s">
        <v>1223</v>
      </c>
      <c r="E655" s="2" t="s">
        <v>16</v>
      </c>
      <c r="F655" s="2" t="s">
        <v>17</v>
      </c>
      <c r="G655" s="2"/>
      <c r="H655" s="2"/>
      <c r="I655" s="2"/>
      <c r="J655" s="2" t="s">
        <v>230</v>
      </c>
      <c r="K655" s="3">
        <v>42511</v>
      </c>
      <c r="L655" s="2"/>
      <c r="M655" s="2"/>
      <c r="N655" s="2" t="s">
        <v>18</v>
      </c>
    </row>
    <row r="656" spans="1:14" ht="15.75" customHeight="1" x14ac:dyDescent="0.35">
      <c r="A656" s="2" t="s">
        <v>1224</v>
      </c>
      <c r="B656" s="2" t="str" cm="1">
        <f t="array" ref="B656">_xlfn.IFS(AND(LEN('Special Help Table'!$A656)-(LEN(SUBSTITUTE('Special Help Table'!$A656,";","")))=0,LEN('Special Help Table'!$A656)-LEN(SUBSTITUTE('Special Help Table'!$A656,",",""))=1,LEN('Special Help Table'!$A656)-LEN(SUBSTITUTE('Special Help Table'!$A656,"and ",""))=0),MID('Special Help Table'!$A656&amp;" "&amp;'Special Help Table'!$A656,SEARCH(", ",'Special Help Table'!$A656)+1,LEN('Special Help Table'!$A656)),AND(LEN('Special Help Table'!$A656)-(LEN(SUBSTITUTE('Special Help Table'!$A656,";","")))=1,LEN('Special Help Table'!$A656)-LEN(SUBSTITUTE('Special Help Table'!$A656,"and ",""))=0),MID('Special Help Table'!$A656,SEARCH(",",'Special Help Table'!$A656)+1,(SEARCH(";",'Special Help Table'!$A656)-1)-SEARCH(",",'Special Help Table'!$A656))&amp;" "&amp;LEFT('Special Help Table'!$A656,SEARCH(",",'Special Help Table'!$A656)-1)&amp;";"&amp;RIGHT('Special Help Table'!$A656,LEN('Special Help Table'!$A656)-SEARCH(",",'Special Help Table'!$A656,SEARCH(";",'Special Help Table'!$A656)))&amp;" "&amp;MID('Special Help Table'!$A656,SEARCH("; ",'Special Help Table'!$A656)+2,SEARCH(",",'Special Help Table'!$A656,SEARCH(";",'Special Help Table'!$A656))-SEARCH(";",'Special Help Table'!$A656)-2),AND(LEN('Special Help Table'!$A656)-LEN(SUBSTITUTE('Special Help Table'!$A656,"and ",""))=0,LEN('Special Help Table'!$A656)-LEN(SUBSTITUTE('Special Help Table'!$A656,";",""))=0),'Special Help Table'!$A656,AND(LEN('Special Help Table'!$A656)-LEN(SUBSTITUTE('Special Help Table'!$A656,",","")=1),LEN('Special Help Table'!$A656)-LEN(SUBSTITUTE('Special Help Table'!$A656," ","")=20),LEN('Special Help Table'!$A656)-LEN(SUBSTITUTE('Special Help Table'!$A656," and",""))=0,LEN('Special Help Table'!$A656)-LEN(SUBSTITUTE('Special Help Table'!$A656,",","",FIND(" ",'Special Help Table'!$A656)+1))=0),RIGHT('Special Help Table'!$A656,LEN('Special Help Table'!$A656)-FIND(", ",'Special Help Table'!$A656))&amp;" "&amp;LEFT('Special Help Table'!$A656,FIND(",",'Special Help Table'!$A656)-1),AND(LEN('Special Help Table'!$A656)-LEN(SUBSTITUTE('Special Help Table'!$A656,"editor",""))=6,LEN('Special Help Table'!$A656)-LEN(SUBSTITUTE('Special Help Table'!$A656,"(",""))=0,LEN('Special Help Table'!$A656)-LEN(SUBSTITUTE('Special Help Table'!$A656,"and",""))=3,LEN('Special Help Table'!$A656)-LEN(SUBSTITUTE('Special Help Table'!$A656,",",""))=1,LEN('Special Help Table'!$A656)-LEN(SUBSTITUTE('Special Help Table'!$A656," ",""))=3),'Special Help Table'!$A656)</f>
        <v xml:space="preserve"> Anthony Selvaggio</v>
      </c>
      <c r="C656" s="4" t="s">
        <v>1225</v>
      </c>
      <c r="D656" s="2"/>
      <c r="E656" s="2" t="s">
        <v>16</v>
      </c>
      <c r="F656" s="2" t="s">
        <v>20</v>
      </c>
      <c r="G656" s="2"/>
      <c r="H656" s="2"/>
      <c r="I656" s="2"/>
      <c r="J656" s="2" t="s">
        <v>1226</v>
      </c>
      <c r="K656" s="3">
        <v>41102</v>
      </c>
      <c r="L656" s="2"/>
      <c r="M656" s="2"/>
      <c r="N656" s="2" t="s">
        <v>18</v>
      </c>
    </row>
    <row r="657" spans="1:14" ht="15.75" customHeight="1" x14ac:dyDescent="0.35">
      <c r="A657" s="2" t="s">
        <v>1227</v>
      </c>
      <c r="B657" s="2" t="str" cm="1">
        <f t="array" ref="B657">_xlfn.IFS(AND(LEN('Special Help Table'!$A657)-(LEN(SUBSTITUTE('Special Help Table'!$A657,";","")))=0,LEN('Special Help Table'!$A657)-LEN(SUBSTITUTE('Special Help Table'!$A657,",",""))=1,LEN('Special Help Table'!$A657)-LEN(SUBSTITUTE('Special Help Table'!$A657,"and ",""))=0),MID('Special Help Table'!$A657&amp;" "&amp;'Special Help Table'!$A657,SEARCH(", ",'Special Help Table'!$A657)+1,LEN('Special Help Table'!$A657)),AND(LEN('Special Help Table'!$A657)-(LEN(SUBSTITUTE('Special Help Table'!$A657,";","")))=1,LEN('Special Help Table'!$A657)-LEN(SUBSTITUTE('Special Help Table'!$A657,"and ",""))=0),MID('Special Help Table'!$A657,SEARCH(",",'Special Help Table'!$A657)+1,(SEARCH(";",'Special Help Table'!$A657)-1)-SEARCH(",",'Special Help Table'!$A657))&amp;" "&amp;LEFT('Special Help Table'!$A657,SEARCH(",",'Special Help Table'!$A657)-1)&amp;";"&amp;RIGHT('Special Help Table'!$A657,LEN('Special Help Table'!$A657)-SEARCH(",",'Special Help Table'!$A657,SEARCH(";",'Special Help Table'!$A657)))&amp;" "&amp;MID('Special Help Table'!$A657,SEARCH("; ",'Special Help Table'!$A657)+2,SEARCH(",",'Special Help Table'!$A657,SEARCH(";",'Special Help Table'!$A657))-SEARCH(";",'Special Help Table'!$A657)-2),AND(LEN('Special Help Table'!$A657)-LEN(SUBSTITUTE('Special Help Table'!$A657,"and ",""))=0,LEN('Special Help Table'!$A657)-LEN(SUBSTITUTE('Special Help Table'!$A657,";",""))=0),'Special Help Table'!$A657,AND(LEN('Special Help Table'!$A657)-LEN(SUBSTITUTE('Special Help Table'!$A657,",","")=1),LEN('Special Help Table'!$A657)-LEN(SUBSTITUTE('Special Help Table'!$A657," ","")=20),LEN('Special Help Table'!$A657)-LEN(SUBSTITUTE('Special Help Table'!$A657," and",""))=0,LEN('Special Help Table'!$A657)-LEN(SUBSTITUTE('Special Help Table'!$A657,",","",FIND(" ",'Special Help Table'!$A657)+1))=0),RIGHT('Special Help Table'!$A657,LEN('Special Help Table'!$A657)-FIND(", ",'Special Help Table'!$A657))&amp;" "&amp;LEFT('Special Help Table'!$A657,FIND(",",'Special Help Table'!$A657)-1),AND(LEN('Special Help Table'!$A657)-LEN(SUBSTITUTE('Special Help Table'!$A657,"editor",""))=6,LEN('Special Help Table'!$A657)-LEN(SUBSTITUTE('Special Help Table'!$A657,"(",""))=0,LEN('Special Help Table'!$A657)-LEN(SUBSTITUTE('Special Help Table'!$A657,"and",""))=3,LEN('Special Help Table'!$A657)-LEN(SUBSTITUTE('Special Help Table'!$A657,",",""))=1,LEN('Special Help Table'!$A657)-LEN(SUBSTITUTE('Special Help Table'!$A657," ",""))=3),'Special Help Table'!$A657)</f>
        <v xml:space="preserve"> Ian J Shaw</v>
      </c>
      <c r="C657" s="4" t="s">
        <v>1228</v>
      </c>
      <c r="D657" s="2"/>
      <c r="E657" s="2" t="s">
        <v>16</v>
      </c>
      <c r="F657" s="2" t="s">
        <v>326</v>
      </c>
      <c r="G657" s="2"/>
      <c r="H657" s="2"/>
      <c r="I657" s="2"/>
      <c r="J657" s="2" t="s">
        <v>77</v>
      </c>
      <c r="K657" s="3">
        <v>41468</v>
      </c>
      <c r="L657" s="2"/>
      <c r="M657" s="2"/>
      <c r="N657" s="2" t="s">
        <v>18</v>
      </c>
    </row>
    <row r="658" spans="1:14" ht="15.75" customHeight="1" x14ac:dyDescent="0.35">
      <c r="A658" s="2" t="s">
        <v>1229</v>
      </c>
      <c r="B658" s="2" t="str" cm="1">
        <f t="array" ref="B658">_xlfn.IFS(AND(LEN('Special Help Table'!$A658)-(LEN(SUBSTITUTE('Special Help Table'!$A658,";","")))=0,LEN('Special Help Table'!$A658)-LEN(SUBSTITUTE('Special Help Table'!$A658,",",""))=1,LEN('Special Help Table'!$A658)-LEN(SUBSTITUTE('Special Help Table'!$A658,"and ",""))=0),MID('Special Help Table'!$A658&amp;" "&amp;'Special Help Table'!$A658,SEARCH(", ",'Special Help Table'!$A658)+1,LEN('Special Help Table'!$A658)),AND(LEN('Special Help Table'!$A658)-(LEN(SUBSTITUTE('Special Help Table'!$A658,";","")))=1,LEN('Special Help Table'!$A658)-LEN(SUBSTITUTE('Special Help Table'!$A658,"and ",""))=0),MID('Special Help Table'!$A658,SEARCH(",",'Special Help Table'!$A658)+1,(SEARCH(";",'Special Help Table'!$A658)-1)-SEARCH(",",'Special Help Table'!$A658))&amp;" "&amp;LEFT('Special Help Table'!$A658,SEARCH(",",'Special Help Table'!$A658)-1)&amp;";"&amp;RIGHT('Special Help Table'!$A658,LEN('Special Help Table'!$A658)-SEARCH(",",'Special Help Table'!$A658,SEARCH(";",'Special Help Table'!$A658)))&amp;" "&amp;MID('Special Help Table'!$A658,SEARCH("; ",'Special Help Table'!$A658)+2,SEARCH(",",'Special Help Table'!$A658,SEARCH(";",'Special Help Table'!$A658))-SEARCH(";",'Special Help Table'!$A658)-2),AND(LEN('Special Help Table'!$A658)-LEN(SUBSTITUTE('Special Help Table'!$A658,"and ",""))=0,LEN('Special Help Table'!$A658)-LEN(SUBSTITUTE('Special Help Table'!$A658,";",""))=0),'Special Help Table'!$A658,AND(LEN('Special Help Table'!$A658)-LEN(SUBSTITUTE('Special Help Table'!$A658,",","")=1),LEN('Special Help Table'!$A658)-LEN(SUBSTITUTE('Special Help Table'!$A658," ","")=20),LEN('Special Help Table'!$A658)-LEN(SUBSTITUTE('Special Help Table'!$A658," and",""))=0,LEN('Special Help Table'!$A658)-LEN(SUBSTITUTE('Special Help Table'!$A658,",","",FIND(" ",'Special Help Table'!$A658)+1))=0),RIGHT('Special Help Table'!$A658,LEN('Special Help Table'!$A658)-FIND(", ",'Special Help Table'!$A658))&amp;" "&amp;LEFT('Special Help Table'!$A658,FIND(",",'Special Help Table'!$A658)-1),AND(LEN('Special Help Table'!$A658)-LEN(SUBSTITUTE('Special Help Table'!$A658,"editor",""))=6,LEN('Special Help Table'!$A658)-LEN(SUBSTITUTE('Special Help Table'!$A658,"(",""))=0,LEN('Special Help Table'!$A658)-LEN(SUBSTITUTE('Special Help Table'!$A658,"and",""))=3,LEN('Special Help Table'!$A658)-LEN(SUBSTITUTE('Special Help Table'!$A658,",",""))=1,LEN('Special Help Table'!$A658)-LEN(SUBSTITUTE('Special Help Table'!$A658," ",""))=3),'Special Help Table'!$A658)</f>
        <v xml:space="preserve"> Richard Sibbes</v>
      </c>
      <c r="C658" s="4" t="s">
        <v>1230</v>
      </c>
      <c r="D658" s="2"/>
      <c r="E658" s="2" t="s">
        <v>16</v>
      </c>
      <c r="F658" s="2" t="s">
        <v>28</v>
      </c>
      <c r="G658" s="2"/>
      <c r="H658" s="2" t="s">
        <v>82</v>
      </c>
      <c r="I658" s="2"/>
      <c r="J658" s="2"/>
      <c r="K658" s="3">
        <v>43046</v>
      </c>
      <c r="L658" s="2"/>
      <c r="M658" s="2"/>
      <c r="N658" s="2" t="s">
        <v>18</v>
      </c>
    </row>
    <row r="659" spans="1:14" ht="15.75" customHeight="1" x14ac:dyDescent="0.35">
      <c r="A659" s="2" t="s">
        <v>1231</v>
      </c>
      <c r="B659" s="2" t="str" cm="1">
        <f t="array" ref="B659">_xlfn.IFS(AND(LEN('Special Help Table'!$A659)-(LEN(SUBSTITUTE('Special Help Table'!$A659,";","")))=0,LEN('Special Help Table'!$A659)-LEN(SUBSTITUTE('Special Help Table'!$A659,",",""))=1,LEN('Special Help Table'!$A659)-LEN(SUBSTITUTE('Special Help Table'!$A659,"and ",""))=0),MID('Special Help Table'!$A659&amp;" "&amp;'Special Help Table'!$A659,SEARCH(", ",'Special Help Table'!$A659)+1,LEN('Special Help Table'!$A659)),AND(LEN('Special Help Table'!$A659)-(LEN(SUBSTITUTE('Special Help Table'!$A659,";","")))=1,LEN('Special Help Table'!$A659)-LEN(SUBSTITUTE('Special Help Table'!$A659,"and ",""))=0),MID('Special Help Table'!$A659,SEARCH(",",'Special Help Table'!$A659)+1,(SEARCH(";",'Special Help Table'!$A659)-1)-SEARCH(",",'Special Help Table'!$A659))&amp;" "&amp;LEFT('Special Help Table'!$A659,SEARCH(",",'Special Help Table'!$A659)-1)&amp;";"&amp;RIGHT('Special Help Table'!$A659,LEN('Special Help Table'!$A659)-SEARCH(",",'Special Help Table'!$A659,SEARCH(";",'Special Help Table'!$A659)))&amp;" "&amp;MID('Special Help Table'!$A659,SEARCH("; ",'Special Help Table'!$A659)+2,SEARCH(",",'Special Help Table'!$A659,SEARCH(";",'Special Help Table'!$A659))-SEARCH(";",'Special Help Table'!$A659)-2),AND(LEN('Special Help Table'!$A659)-LEN(SUBSTITUTE('Special Help Table'!$A659,"and ",""))=0,LEN('Special Help Table'!$A659)-LEN(SUBSTITUTE('Special Help Table'!$A659,";",""))=0),'Special Help Table'!$A659,AND(LEN('Special Help Table'!$A659)-LEN(SUBSTITUTE('Special Help Table'!$A659,",","")=1),LEN('Special Help Table'!$A659)-LEN(SUBSTITUTE('Special Help Table'!$A659," ","")=20),LEN('Special Help Table'!$A659)-LEN(SUBSTITUTE('Special Help Table'!$A659," and",""))=0,LEN('Special Help Table'!$A659)-LEN(SUBSTITUTE('Special Help Table'!$A659,",","",FIND(" ",'Special Help Table'!$A659)+1))=0),RIGHT('Special Help Table'!$A659,LEN('Special Help Table'!$A659)-FIND(", ",'Special Help Table'!$A659))&amp;" "&amp;LEFT('Special Help Table'!$A659,FIND(",",'Special Help Table'!$A659)-1),AND(LEN('Special Help Table'!$A659)-LEN(SUBSTITUTE('Special Help Table'!$A659,"editor",""))=6,LEN('Special Help Table'!$A659)-LEN(SUBSTITUTE('Special Help Table'!$A659,"(",""))=0,LEN('Special Help Table'!$A659)-LEN(SUBSTITUTE('Special Help Table'!$A659,"and",""))=3,LEN('Special Help Table'!$A659)-LEN(SUBSTITUTE('Special Help Table'!$A659,",",""))=1,LEN('Special Help Table'!$A659)-LEN(SUBSTITUTE('Special Help Table'!$A659," ",""))=3),'Special Help Table'!$A659)</f>
        <v xml:space="preserve"> James W Sire</v>
      </c>
      <c r="C659" s="4" t="s">
        <v>1232</v>
      </c>
      <c r="D659" s="2"/>
      <c r="E659" s="2" t="s">
        <v>16</v>
      </c>
      <c r="F659" s="2" t="s">
        <v>20</v>
      </c>
      <c r="G659" s="2"/>
      <c r="H659" s="2"/>
      <c r="I659" s="2"/>
      <c r="J659" s="2"/>
      <c r="K659" s="3">
        <v>41773</v>
      </c>
      <c r="L659" s="2"/>
      <c r="M659" s="2"/>
      <c r="N659" s="2" t="s">
        <v>18</v>
      </c>
    </row>
    <row r="660" spans="1:14" ht="15.75" customHeight="1" x14ac:dyDescent="0.35">
      <c r="A660" s="2" t="s">
        <v>1233</v>
      </c>
      <c r="B660" s="2" t="str" cm="1">
        <f t="array" ref="B660">_xlfn.IFS(AND(LEN('Special Help Table'!$A660)-(LEN(SUBSTITUTE('Special Help Table'!$A660,";","")))=0,LEN('Special Help Table'!$A660)-LEN(SUBSTITUTE('Special Help Table'!$A660,",",""))=1,LEN('Special Help Table'!$A660)-LEN(SUBSTITUTE('Special Help Table'!$A660,"and ",""))=0),MID('Special Help Table'!$A660&amp;" "&amp;'Special Help Table'!$A660,SEARCH(", ",'Special Help Table'!$A660)+1,LEN('Special Help Table'!$A660)),AND(LEN('Special Help Table'!$A660)-(LEN(SUBSTITUTE('Special Help Table'!$A660,";","")))=1,LEN('Special Help Table'!$A660)-LEN(SUBSTITUTE('Special Help Table'!$A660,"and ",""))=0),MID('Special Help Table'!$A660,SEARCH(",",'Special Help Table'!$A660)+1,(SEARCH(";",'Special Help Table'!$A660)-1)-SEARCH(",",'Special Help Table'!$A660))&amp;" "&amp;LEFT('Special Help Table'!$A660,SEARCH(",",'Special Help Table'!$A660)-1)&amp;";"&amp;RIGHT('Special Help Table'!$A660,LEN('Special Help Table'!$A660)-SEARCH(",",'Special Help Table'!$A660,SEARCH(";",'Special Help Table'!$A660)))&amp;" "&amp;MID('Special Help Table'!$A660,SEARCH("; ",'Special Help Table'!$A660)+2,SEARCH(",",'Special Help Table'!$A660,SEARCH(";",'Special Help Table'!$A660))-SEARCH(";",'Special Help Table'!$A660)-2),AND(LEN('Special Help Table'!$A660)-LEN(SUBSTITUTE('Special Help Table'!$A660,"and ",""))=0,LEN('Special Help Table'!$A660)-LEN(SUBSTITUTE('Special Help Table'!$A660,";",""))=0),'Special Help Table'!$A660,AND(LEN('Special Help Table'!$A660)-LEN(SUBSTITUTE('Special Help Table'!$A660,",","")=1),LEN('Special Help Table'!$A660)-LEN(SUBSTITUTE('Special Help Table'!$A660," ","")=20),LEN('Special Help Table'!$A660)-LEN(SUBSTITUTE('Special Help Table'!$A660," and",""))=0,LEN('Special Help Table'!$A660)-LEN(SUBSTITUTE('Special Help Table'!$A660,",","",FIND(" ",'Special Help Table'!$A660)+1))=0),RIGHT('Special Help Table'!$A660,LEN('Special Help Table'!$A660)-FIND(", ",'Special Help Table'!$A660))&amp;" "&amp;LEFT('Special Help Table'!$A660,FIND(",",'Special Help Table'!$A660)-1),AND(LEN('Special Help Table'!$A660)-LEN(SUBSTITUTE('Special Help Table'!$A660,"editor",""))=6,LEN('Special Help Table'!$A660)-LEN(SUBSTITUTE('Special Help Table'!$A660,"(",""))=0,LEN('Special Help Table'!$A660)-LEN(SUBSTITUTE('Special Help Table'!$A660,"and",""))=3,LEN('Special Help Table'!$A660)-LEN(SUBSTITUTE('Special Help Table'!$A660,",",""))=1,LEN('Special Help Table'!$A660)-LEN(SUBSTITUTE('Special Help Table'!$A660," ",""))=3),'Special Help Table'!$A660)</f>
        <v xml:space="preserve"> Stephen Smallman</v>
      </c>
      <c r="C660" s="4" t="s">
        <v>1234</v>
      </c>
      <c r="D660" s="2"/>
      <c r="E660" s="2" t="s">
        <v>16</v>
      </c>
      <c r="F660" s="2" t="s">
        <v>36</v>
      </c>
      <c r="G660" s="2"/>
      <c r="H660" s="2"/>
      <c r="I660" s="2"/>
      <c r="J660" s="2"/>
      <c r="K660" s="3">
        <v>41773</v>
      </c>
      <c r="L660" s="2"/>
      <c r="M660" s="2"/>
      <c r="N660" s="2" t="s">
        <v>18</v>
      </c>
    </row>
    <row r="661" spans="1:14" ht="15.75" customHeight="1" x14ac:dyDescent="0.35">
      <c r="A661" s="2" t="s">
        <v>1235</v>
      </c>
      <c r="B661" s="2" t="str" cm="1">
        <f t="array" ref="B661">_xlfn.IFS(AND(LEN('Special Help Table'!$A661)-(LEN(SUBSTITUTE('Special Help Table'!$A661,";","")))=0,LEN('Special Help Table'!$A661)-LEN(SUBSTITUTE('Special Help Table'!$A661,",",""))=1,LEN('Special Help Table'!$A661)-LEN(SUBSTITUTE('Special Help Table'!$A661,"and ",""))=0),MID('Special Help Table'!$A661&amp;" "&amp;'Special Help Table'!$A661,SEARCH(", ",'Special Help Table'!$A661)+1,LEN('Special Help Table'!$A661)),AND(LEN('Special Help Table'!$A661)-(LEN(SUBSTITUTE('Special Help Table'!$A661,";","")))=1,LEN('Special Help Table'!$A661)-LEN(SUBSTITUTE('Special Help Table'!$A661,"and ",""))=0),MID('Special Help Table'!$A661,SEARCH(",",'Special Help Table'!$A661)+1,(SEARCH(";",'Special Help Table'!$A661)-1)-SEARCH(",",'Special Help Table'!$A661))&amp;" "&amp;LEFT('Special Help Table'!$A661,SEARCH(",",'Special Help Table'!$A661)-1)&amp;";"&amp;RIGHT('Special Help Table'!$A661,LEN('Special Help Table'!$A661)-SEARCH(",",'Special Help Table'!$A661,SEARCH(";",'Special Help Table'!$A661)))&amp;" "&amp;MID('Special Help Table'!$A661,SEARCH("; ",'Special Help Table'!$A661)+2,SEARCH(",",'Special Help Table'!$A661,SEARCH(";",'Special Help Table'!$A661))-SEARCH(";",'Special Help Table'!$A661)-2),AND(LEN('Special Help Table'!$A661)-LEN(SUBSTITUTE('Special Help Table'!$A661,"and ",""))=0,LEN('Special Help Table'!$A661)-LEN(SUBSTITUTE('Special Help Table'!$A661,";",""))=0),'Special Help Table'!$A661,AND(LEN('Special Help Table'!$A661)-LEN(SUBSTITUTE('Special Help Table'!$A661,",","")=1),LEN('Special Help Table'!$A661)-LEN(SUBSTITUTE('Special Help Table'!$A661," ","")=20),LEN('Special Help Table'!$A661)-LEN(SUBSTITUTE('Special Help Table'!$A661," and",""))=0,LEN('Special Help Table'!$A661)-LEN(SUBSTITUTE('Special Help Table'!$A661,",","",FIND(" ",'Special Help Table'!$A661)+1))=0),RIGHT('Special Help Table'!$A661,LEN('Special Help Table'!$A661)-FIND(", ",'Special Help Table'!$A661))&amp;" "&amp;LEFT('Special Help Table'!$A661,FIND(",",'Special Help Table'!$A661)-1),AND(LEN('Special Help Table'!$A661)-LEN(SUBSTITUTE('Special Help Table'!$A661,"editor",""))=6,LEN('Special Help Table'!$A661)-LEN(SUBSTITUTE('Special Help Table'!$A661,"(",""))=0,LEN('Special Help Table'!$A661)-LEN(SUBSTITUTE('Special Help Table'!$A661,"and",""))=3,LEN('Special Help Table'!$A661)-LEN(SUBSTITUTE('Special Help Table'!$A661,",",""))=1,LEN('Special Help Table'!$A661)-LEN(SUBSTITUTE('Special Help Table'!$A661," ",""))=3),'Special Help Table'!$A661)</f>
        <v xml:space="preserve"> Matt Smethurst</v>
      </c>
      <c r="C661" s="4" t="s">
        <v>1236</v>
      </c>
      <c r="D661" s="2"/>
      <c r="E661" s="2" t="s">
        <v>16</v>
      </c>
      <c r="F661" s="2" t="s">
        <v>76</v>
      </c>
      <c r="G661" s="2"/>
      <c r="H661" s="2"/>
      <c r="I661" s="2"/>
      <c r="J661" s="2"/>
      <c r="K661" s="3">
        <v>44772</v>
      </c>
      <c r="L661" s="2"/>
      <c r="M661" s="2"/>
      <c r="N661" s="2" t="s">
        <v>18</v>
      </c>
    </row>
    <row r="662" spans="1:14" ht="15.75" customHeight="1" x14ac:dyDescent="0.35">
      <c r="A662" s="2" t="s">
        <v>1235</v>
      </c>
      <c r="B662" s="2" t="str" cm="1">
        <f t="array" ref="B662">_xlfn.IFS(AND(LEN('Special Help Table'!$A662)-(LEN(SUBSTITUTE('Special Help Table'!$A662,";","")))=0,LEN('Special Help Table'!$A662)-LEN(SUBSTITUTE('Special Help Table'!$A662,",",""))=1,LEN('Special Help Table'!$A662)-LEN(SUBSTITUTE('Special Help Table'!$A662,"and ",""))=0),MID('Special Help Table'!$A662&amp;" "&amp;'Special Help Table'!$A662,SEARCH(", ",'Special Help Table'!$A662)+1,LEN('Special Help Table'!$A662)),AND(LEN('Special Help Table'!$A662)-(LEN(SUBSTITUTE('Special Help Table'!$A662,";","")))=1,LEN('Special Help Table'!$A662)-LEN(SUBSTITUTE('Special Help Table'!$A662,"and ",""))=0),MID('Special Help Table'!$A662,SEARCH(",",'Special Help Table'!$A662)+1,(SEARCH(";",'Special Help Table'!$A662)-1)-SEARCH(",",'Special Help Table'!$A662))&amp;" "&amp;LEFT('Special Help Table'!$A662,SEARCH(",",'Special Help Table'!$A662)-1)&amp;";"&amp;RIGHT('Special Help Table'!$A662,LEN('Special Help Table'!$A662)-SEARCH(",",'Special Help Table'!$A662,SEARCH(";",'Special Help Table'!$A662)))&amp;" "&amp;MID('Special Help Table'!$A662,SEARCH("; ",'Special Help Table'!$A662)+2,SEARCH(",",'Special Help Table'!$A662,SEARCH(";",'Special Help Table'!$A662))-SEARCH(";",'Special Help Table'!$A662)-2),AND(LEN('Special Help Table'!$A662)-LEN(SUBSTITUTE('Special Help Table'!$A662,"and ",""))=0,LEN('Special Help Table'!$A662)-LEN(SUBSTITUTE('Special Help Table'!$A662,";",""))=0),'Special Help Table'!$A662,AND(LEN('Special Help Table'!$A662)-LEN(SUBSTITUTE('Special Help Table'!$A662,",","")=1),LEN('Special Help Table'!$A662)-LEN(SUBSTITUTE('Special Help Table'!$A662," ","")=20),LEN('Special Help Table'!$A662)-LEN(SUBSTITUTE('Special Help Table'!$A662," and",""))=0,LEN('Special Help Table'!$A662)-LEN(SUBSTITUTE('Special Help Table'!$A662,",","",FIND(" ",'Special Help Table'!$A662)+1))=0),RIGHT('Special Help Table'!$A662,LEN('Special Help Table'!$A662)-FIND(", ",'Special Help Table'!$A662))&amp;" "&amp;LEFT('Special Help Table'!$A662,FIND(",",'Special Help Table'!$A662)-1),AND(LEN('Special Help Table'!$A662)-LEN(SUBSTITUTE('Special Help Table'!$A662,"editor",""))=6,LEN('Special Help Table'!$A662)-LEN(SUBSTITUTE('Special Help Table'!$A662,"(",""))=0,LEN('Special Help Table'!$A662)-LEN(SUBSTITUTE('Special Help Table'!$A662,"and",""))=3,LEN('Special Help Table'!$A662)-LEN(SUBSTITUTE('Special Help Table'!$A662,",",""))=1,LEN('Special Help Table'!$A662)-LEN(SUBSTITUTE('Special Help Table'!$A662," ",""))=3),'Special Help Table'!$A662)</f>
        <v xml:space="preserve"> Matt Smethurst</v>
      </c>
      <c r="C662" s="4" t="s">
        <v>1237</v>
      </c>
      <c r="D662" s="2"/>
      <c r="E662" s="2" t="s">
        <v>16</v>
      </c>
      <c r="F662" s="2" t="s">
        <v>126</v>
      </c>
      <c r="G662" s="2"/>
      <c r="H662" s="2"/>
      <c r="I662" s="2"/>
      <c r="J662" s="2" t="s">
        <v>359</v>
      </c>
      <c r="K662" s="3">
        <v>44772</v>
      </c>
      <c r="L662" s="2"/>
      <c r="M662" s="2"/>
      <c r="N662" s="2" t="s">
        <v>18</v>
      </c>
    </row>
    <row r="663" spans="1:14" ht="15.75" customHeight="1" x14ac:dyDescent="0.35">
      <c r="A663" s="2" t="s">
        <v>1238</v>
      </c>
      <c r="B663" s="2" t="str" cm="1">
        <f t="array" ref="B663">_xlfn.IFS(AND(LEN('Special Help Table'!$A663)-(LEN(SUBSTITUTE('Special Help Table'!$A663,";","")))=0,LEN('Special Help Table'!$A663)-LEN(SUBSTITUTE('Special Help Table'!$A663,",",""))=1,LEN('Special Help Table'!$A663)-LEN(SUBSTITUTE('Special Help Table'!$A663,"and ",""))=0),MID('Special Help Table'!$A663&amp;" "&amp;'Special Help Table'!$A663,SEARCH(", ",'Special Help Table'!$A663)+1,LEN('Special Help Table'!$A663)),AND(LEN('Special Help Table'!$A663)-(LEN(SUBSTITUTE('Special Help Table'!$A663,";","")))=1,LEN('Special Help Table'!$A663)-LEN(SUBSTITUTE('Special Help Table'!$A663,"and ",""))=0),MID('Special Help Table'!$A663,SEARCH(",",'Special Help Table'!$A663)+1,(SEARCH(";",'Special Help Table'!$A663)-1)-SEARCH(",",'Special Help Table'!$A663))&amp;" "&amp;LEFT('Special Help Table'!$A663,SEARCH(",",'Special Help Table'!$A663)-1)&amp;";"&amp;RIGHT('Special Help Table'!$A663,LEN('Special Help Table'!$A663)-SEARCH(",",'Special Help Table'!$A663,SEARCH(";",'Special Help Table'!$A663)))&amp;" "&amp;MID('Special Help Table'!$A663,SEARCH("; ",'Special Help Table'!$A663)+2,SEARCH(",",'Special Help Table'!$A663,SEARCH(";",'Special Help Table'!$A663))-SEARCH(";",'Special Help Table'!$A663)-2),AND(LEN('Special Help Table'!$A663)-LEN(SUBSTITUTE('Special Help Table'!$A663,"and ",""))=0,LEN('Special Help Table'!$A663)-LEN(SUBSTITUTE('Special Help Table'!$A663,";",""))=0),'Special Help Table'!$A663,AND(LEN('Special Help Table'!$A663)-LEN(SUBSTITUTE('Special Help Table'!$A663,",","")=1),LEN('Special Help Table'!$A663)-LEN(SUBSTITUTE('Special Help Table'!$A663," ","")=20),LEN('Special Help Table'!$A663)-LEN(SUBSTITUTE('Special Help Table'!$A663," and",""))=0,LEN('Special Help Table'!$A663)-LEN(SUBSTITUTE('Special Help Table'!$A663,",","",FIND(" ",'Special Help Table'!$A663)+1))=0),RIGHT('Special Help Table'!$A663,LEN('Special Help Table'!$A663)-FIND(", ",'Special Help Table'!$A663))&amp;" "&amp;LEFT('Special Help Table'!$A663,FIND(",",'Special Help Table'!$A663)-1),AND(LEN('Special Help Table'!$A663)-LEN(SUBSTITUTE('Special Help Table'!$A663,"editor",""))=6,LEN('Special Help Table'!$A663)-LEN(SUBSTITUTE('Special Help Table'!$A663,"(",""))=0,LEN('Special Help Table'!$A663)-LEN(SUBSTITUTE('Special Help Table'!$A663,"and",""))=3,LEN('Special Help Table'!$A663)-LEN(SUBSTITUTE('Special Help Table'!$A663,",",""))=1,LEN('Special Help Table'!$A663)-LEN(SUBSTITUTE('Special Help Table'!$A663," ",""))=3),'Special Help Table'!$A663)</f>
        <v xml:space="preserve"> J.C. Smith</v>
      </c>
      <c r="C663" s="4" t="s">
        <v>1239</v>
      </c>
      <c r="D663" s="2"/>
      <c r="E663" s="2" t="s">
        <v>16</v>
      </c>
      <c r="F663" s="2" t="s">
        <v>39</v>
      </c>
      <c r="G663" s="2"/>
      <c r="H663" s="2"/>
      <c r="I663" s="2"/>
      <c r="J663" s="2"/>
      <c r="K663" s="3">
        <v>40043</v>
      </c>
      <c r="L663" s="2"/>
      <c r="M663" s="2"/>
      <c r="N663" s="2" t="s">
        <v>18</v>
      </c>
    </row>
    <row r="664" spans="1:14" ht="15.75" customHeight="1" x14ac:dyDescent="0.35">
      <c r="A664" s="2" t="s">
        <v>1240</v>
      </c>
      <c r="B664" s="2" t="str" cm="1">
        <f t="array" ref="B664">_xlfn.IFS(AND(LEN('Special Help Table'!$A664)-(LEN(SUBSTITUTE('Special Help Table'!$A664,";","")))=0,LEN('Special Help Table'!$A664)-LEN(SUBSTITUTE('Special Help Table'!$A664,",",""))=1,LEN('Special Help Table'!$A664)-LEN(SUBSTITUTE('Special Help Table'!$A664,"and ",""))=0),MID('Special Help Table'!$A664&amp;" "&amp;'Special Help Table'!$A664,SEARCH(", ",'Special Help Table'!$A664)+1,LEN('Special Help Table'!$A664)),AND(LEN('Special Help Table'!$A664)-(LEN(SUBSTITUTE('Special Help Table'!$A664,";","")))=1,LEN('Special Help Table'!$A664)-LEN(SUBSTITUTE('Special Help Table'!$A664,"and ",""))=0),MID('Special Help Table'!$A664,SEARCH(",",'Special Help Table'!$A664)+1,(SEARCH(";",'Special Help Table'!$A664)-1)-SEARCH(",",'Special Help Table'!$A664))&amp;" "&amp;LEFT('Special Help Table'!$A664,SEARCH(",",'Special Help Table'!$A664)-1)&amp;";"&amp;RIGHT('Special Help Table'!$A664,LEN('Special Help Table'!$A664)-SEARCH(",",'Special Help Table'!$A664,SEARCH(";",'Special Help Table'!$A664)))&amp;" "&amp;MID('Special Help Table'!$A664,SEARCH("; ",'Special Help Table'!$A664)+2,SEARCH(",",'Special Help Table'!$A664,SEARCH(";",'Special Help Table'!$A664))-SEARCH(";",'Special Help Table'!$A664)-2),AND(LEN('Special Help Table'!$A664)-LEN(SUBSTITUTE('Special Help Table'!$A664,"and ",""))=0,LEN('Special Help Table'!$A664)-LEN(SUBSTITUTE('Special Help Table'!$A664,";",""))=0),'Special Help Table'!$A664,AND(LEN('Special Help Table'!$A664)-LEN(SUBSTITUTE('Special Help Table'!$A664,",","")=1),LEN('Special Help Table'!$A664)-LEN(SUBSTITUTE('Special Help Table'!$A664," ","")=20),LEN('Special Help Table'!$A664)-LEN(SUBSTITUTE('Special Help Table'!$A664," and",""))=0,LEN('Special Help Table'!$A664)-LEN(SUBSTITUTE('Special Help Table'!$A664,",","",FIND(" ",'Special Help Table'!$A664)+1))=0),RIGHT('Special Help Table'!$A664,LEN('Special Help Table'!$A664)-FIND(", ",'Special Help Table'!$A664))&amp;" "&amp;LEFT('Special Help Table'!$A664,FIND(",",'Special Help Table'!$A664)-1),AND(LEN('Special Help Table'!$A664)-LEN(SUBSTITUTE('Special Help Table'!$A664,"editor",""))=6,LEN('Special Help Table'!$A664)-LEN(SUBSTITUTE('Special Help Table'!$A664,"(",""))=0,LEN('Special Help Table'!$A664)-LEN(SUBSTITUTE('Special Help Table'!$A664,"and",""))=3,LEN('Special Help Table'!$A664)-LEN(SUBSTITUTE('Special Help Table'!$A664,",",""))=1,LEN('Special Help Table'!$A664)-LEN(SUBSTITUTE('Special Help Table'!$A664," ",""))=3),'Special Help Table'!$A664)</f>
        <v xml:space="preserve"> Ken G. Smith</v>
      </c>
      <c r="C664" s="4" t="s">
        <v>1241</v>
      </c>
      <c r="D664" s="2"/>
      <c r="E664" s="2" t="s">
        <v>16</v>
      </c>
      <c r="F664" s="2" t="s">
        <v>36</v>
      </c>
      <c r="G664" s="2"/>
      <c r="H664" s="2"/>
      <c r="I664" s="2"/>
      <c r="J664" s="2" t="s">
        <v>1080</v>
      </c>
      <c r="K664" s="3"/>
      <c r="L664" s="2"/>
      <c r="M664" s="2"/>
      <c r="N664" s="2" t="s">
        <v>18</v>
      </c>
    </row>
    <row r="665" spans="1:14" ht="15.75" customHeight="1" x14ac:dyDescent="0.35">
      <c r="A665" s="2" t="s">
        <v>1242</v>
      </c>
      <c r="B665" s="2" t="str" cm="1">
        <f t="array" ref="B665">_xlfn.IFS(AND(LEN('Special Help Table'!$A665)-(LEN(SUBSTITUTE('Special Help Table'!$A665,";","")))=0,LEN('Special Help Table'!$A665)-LEN(SUBSTITUTE('Special Help Table'!$A665,",",""))=1,LEN('Special Help Table'!$A665)-LEN(SUBSTITUTE('Special Help Table'!$A665,"and ",""))=0),MID('Special Help Table'!$A665&amp;" "&amp;'Special Help Table'!$A665,SEARCH(", ",'Special Help Table'!$A665)+1,LEN('Special Help Table'!$A665)),AND(LEN('Special Help Table'!$A665)-(LEN(SUBSTITUTE('Special Help Table'!$A665,";","")))=1,LEN('Special Help Table'!$A665)-LEN(SUBSTITUTE('Special Help Table'!$A665,"and ",""))=0),MID('Special Help Table'!$A665,SEARCH(",",'Special Help Table'!$A665)+1,(SEARCH(";",'Special Help Table'!$A665)-1)-SEARCH(",",'Special Help Table'!$A665))&amp;" "&amp;LEFT('Special Help Table'!$A665,SEARCH(",",'Special Help Table'!$A665)-1)&amp;";"&amp;RIGHT('Special Help Table'!$A665,LEN('Special Help Table'!$A665)-SEARCH(",",'Special Help Table'!$A665,SEARCH(";",'Special Help Table'!$A665)))&amp;" "&amp;MID('Special Help Table'!$A665,SEARCH("; ",'Special Help Table'!$A665)+2,SEARCH(",",'Special Help Table'!$A665,SEARCH(";",'Special Help Table'!$A665))-SEARCH(";",'Special Help Table'!$A665)-2),AND(LEN('Special Help Table'!$A665)-LEN(SUBSTITUTE('Special Help Table'!$A665,"and ",""))=0,LEN('Special Help Table'!$A665)-LEN(SUBSTITUTE('Special Help Table'!$A665,";",""))=0),'Special Help Table'!$A665,AND(LEN('Special Help Table'!$A665)-LEN(SUBSTITUTE('Special Help Table'!$A665,",","")=1),LEN('Special Help Table'!$A665)-LEN(SUBSTITUTE('Special Help Table'!$A665," ","")=20),LEN('Special Help Table'!$A665)-LEN(SUBSTITUTE('Special Help Table'!$A665," and",""))=0,LEN('Special Help Table'!$A665)-LEN(SUBSTITUTE('Special Help Table'!$A665,",","",FIND(" ",'Special Help Table'!$A665)+1))=0),RIGHT('Special Help Table'!$A665,LEN('Special Help Table'!$A665)-FIND(", ",'Special Help Table'!$A665))&amp;" "&amp;LEFT('Special Help Table'!$A665,FIND(",",'Special Help Table'!$A665)-1),AND(LEN('Special Help Table'!$A665)-LEN(SUBSTITUTE('Special Help Table'!$A665,"editor",""))=6,LEN('Special Help Table'!$A665)-LEN(SUBSTITUTE('Special Help Table'!$A665,"(",""))=0,LEN('Special Help Table'!$A665)-LEN(SUBSTITUTE('Special Help Table'!$A665,"and",""))=3,LEN('Special Help Table'!$A665)-LEN(SUBSTITUTE('Special Help Table'!$A665,",",""))=1,LEN('Special Help Table'!$A665)-LEN(SUBSTITUTE('Special Help Table'!$A665," ",""))=3),'Special Help Table'!$A665)</f>
        <v xml:space="preserve"> William P Smith</v>
      </c>
      <c r="C665" s="4" t="s">
        <v>1243</v>
      </c>
      <c r="D665" s="2"/>
      <c r="E665" s="2" t="s">
        <v>16</v>
      </c>
      <c r="F665" s="2" t="s">
        <v>36</v>
      </c>
      <c r="G665" s="2"/>
      <c r="H665" s="2"/>
      <c r="I665" s="2"/>
      <c r="J665" s="2"/>
      <c r="K665" s="3">
        <v>40858</v>
      </c>
      <c r="L665" s="2"/>
      <c r="M665" s="2"/>
      <c r="N665" s="2" t="s">
        <v>18</v>
      </c>
    </row>
    <row r="666" spans="1:14" ht="15.75" customHeight="1" x14ac:dyDescent="0.35">
      <c r="A666" s="2" t="s">
        <v>1244</v>
      </c>
      <c r="B666" s="2" t="str" cm="1">
        <f t="array" ref="B666">_xlfn.IFS(AND(LEN('Special Help Table'!$A666)-(LEN(SUBSTITUTE('Special Help Table'!$A666,";","")))=0,LEN('Special Help Table'!$A666)-LEN(SUBSTITUTE('Special Help Table'!$A666,",",""))=1,LEN('Special Help Table'!$A666)-LEN(SUBSTITUTE('Special Help Table'!$A666,"and ",""))=0),MID('Special Help Table'!$A666&amp;" "&amp;'Special Help Table'!$A666,SEARCH(", ",'Special Help Table'!$A666)+1,LEN('Special Help Table'!$A666)),AND(LEN('Special Help Table'!$A666)-(LEN(SUBSTITUTE('Special Help Table'!$A666,";","")))=1,LEN('Special Help Table'!$A666)-LEN(SUBSTITUTE('Special Help Table'!$A666,"and ",""))=0),MID('Special Help Table'!$A666,SEARCH(",",'Special Help Table'!$A666)+1,(SEARCH(";",'Special Help Table'!$A666)-1)-SEARCH(",",'Special Help Table'!$A666))&amp;" "&amp;LEFT('Special Help Table'!$A666,SEARCH(",",'Special Help Table'!$A666)-1)&amp;";"&amp;RIGHT('Special Help Table'!$A666,LEN('Special Help Table'!$A666)-SEARCH(",",'Special Help Table'!$A666,SEARCH(";",'Special Help Table'!$A666)))&amp;" "&amp;MID('Special Help Table'!$A666,SEARCH("; ",'Special Help Table'!$A666)+2,SEARCH(",",'Special Help Table'!$A666,SEARCH(";",'Special Help Table'!$A666))-SEARCH(";",'Special Help Table'!$A666)-2),AND(LEN('Special Help Table'!$A666)-LEN(SUBSTITUTE('Special Help Table'!$A666,"and ",""))=0,LEN('Special Help Table'!$A666)-LEN(SUBSTITUTE('Special Help Table'!$A666,";",""))=0),'Special Help Table'!$A666,AND(LEN('Special Help Table'!$A666)-LEN(SUBSTITUTE('Special Help Table'!$A666,",","")=1),LEN('Special Help Table'!$A666)-LEN(SUBSTITUTE('Special Help Table'!$A666," ","")=20),LEN('Special Help Table'!$A666)-LEN(SUBSTITUTE('Special Help Table'!$A666," and",""))=0,LEN('Special Help Table'!$A666)-LEN(SUBSTITUTE('Special Help Table'!$A666,",","",FIND(" ",'Special Help Table'!$A666)+1))=0),RIGHT('Special Help Table'!$A666,LEN('Special Help Table'!$A666)-FIND(", ",'Special Help Table'!$A666))&amp;" "&amp;LEFT('Special Help Table'!$A666,FIND(",",'Special Help Table'!$A666)-1),AND(LEN('Special Help Table'!$A666)-LEN(SUBSTITUTE('Special Help Table'!$A666,"editor",""))=6,LEN('Special Help Table'!$A666)-LEN(SUBSTITUTE('Special Help Table'!$A666,"(",""))=0,LEN('Special Help Table'!$A666)-LEN(SUBSTITUTE('Special Help Table'!$A666,"and",""))=3,LEN('Special Help Table'!$A666)-LEN(SUBSTITUTE('Special Help Table'!$A666,",",""))=1,LEN('Special Help Table'!$A666)-LEN(SUBSTITUTE('Special Help Table'!$A666," ",""))=3),'Special Help Table'!$A666)</f>
        <v xml:space="preserve"> Winston T Smith</v>
      </c>
      <c r="C666" s="4" t="s">
        <v>1245</v>
      </c>
      <c r="D666" s="2"/>
      <c r="E666" s="2" t="s">
        <v>16</v>
      </c>
      <c r="F666" s="2" t="s">
        <v>17</v>
      </c>
      <c r="G666" s="2"/>
      <c r="H666" s="2"/>
      <c r="I666" s="2"/>
      <c r="J666" s="2" t="s">
        <v>622</v>
      </c>
      <c r="K666" s="3">
        <v>41773</v>
      </c>
      <c r="L666" s="2"/>
      <c r="M666" s="2"/>
      <c r="N666" s="2" t="s">
        <v>18</v>
      </c>
    </row>
    <row r="667" spans="1:14" ht="15.75" customHeight="1" x14ac:dyDescent="0.35">
      <c r="A667" s="2" t="s">
        <v>1244</v>
      </c>
      <c r="B667" s="2" t="str" cm="1">
        <f t="array" ref="B667">_xlfn.IFS(AND(LEN('Special Help Table'!$A667)-(LEN(SUBSTITUTE('Special Help Table'!$A667,";","")))=0,LEN('Special Help Table'!$A667)-LEN(SUBSTITUTE('Special Help Table'!$A667,",",""))=1,LEN('Special Help Table'!$A667)-LEN(SUBSTITUTE('Special Help Table'!$A667,"and ",""))=0),MID('Special Help Table'!$A667&amp;" "&amp;'Special Help Table'!$A667,SEARCH(", ",'Special Help Table'!$A667)+1,LEN('Special Help Table'!$A667)),AND(LEN('Special Help Table'!$A667)-(LEN(SUBSTITUTE('Special Help Table'!$A667,";","")))=1,LEN('Special Help Table'!$A667)-LEN(SUBSTITUTE('Special Help Table'!$A667,"and ",""))=0),MID('Special Help Table'!$A667,SEARCH(",",'Special Help Table'!$A667)+1,(SEARCH(";",'Special Help Table'!$A667)-1)-SEARCH(",",'Special Help Table'!$A667))&amp;" "&amp;LEFT('Special Help Table'!$A667,SEARCH(",",'Special Help Table'!$A667)-1)&amp;";"&amp;RIGHT('Special Help Table'!$A667,LEN('Special Help Table'!$A667)-SEARCH(",",'Special Help Table'!$A667,SEARCH(";",'Special Help Table'!$A667)))&amp;" "&amp;MID('Special Help Table'!$A667,SEARCH("; ",'Special Help Table'!$A667)+2,SEARCH(",",'Special Help Table'!$A667,SEARCH(";",'Special Help Table'!$A667))-SEARCH(";",'Special Help Table'!$A667)-2),AND(LEN('Special Help Table'!$A667)-LEN(SUBSTITUTE('Special Help Table'!$A667,"and ",""))=0,LEN('Special Help Table'!$A667)-LEN(SUBSTITUTE('Special Help Table'!$A667,";",""))=0),'Special Help Table'!$A667,AND(LEN('Special Help Table'!$A667)-LEN(SUBSTITUTE('Special Help Table'!$A667,",","")=1),LEN('Special Help Table'!$A667)-LEN(SUBSTITUTE('Special Help Table'!$A667," ","")=20),LEN('Special Help Table'!$A667)-LEN(SUBSTITUTE('Special Help Table'!$A667," and",""))=0,LEN('Special Help Table'!$A667)-LEN(SUBSTITUTE('Special Help Table'!$A667,",","",FIND(" ",'Special Help Table'!$A667)+1))=0),RIGHT('Special Help Table'!$A667,LEN('Special Help Table'!$A667)-FIND(", ",'Special Help Table'!$A667))&amp;" "&amp;LEFT('Special Help Table'!$A667,FIND(",",'Special Help Table'!$A667)-1),AND(LEN('Special Help Table'!$A667)-LEN(SUBSTITUTE('Special Help Table'!$A667,"editor",""))=6,LEN('Special Help Table'!$A667)-LEN(SUBSTITUTE('Special Help Table'!$A667,"(",""))=0,LEN('Special Help Table'!$A667)-LEN(SUBSTITUTE('Special Help Table'!$A667,"and",""))=3,LEN('Special Help Table'!$A667)-LEN(SUBSTITUTE('Special Help Table'!$A667,",",""))=1,LEN('Special Help Table'!$A667)-LEN(SUBSTITUTE('Special Help Table'!$A667," ",""))=3),'Special Help Table'!$A667)</f>
        <v xml:space="preserve"> Winston T Smith</v>
      </c>
      <c r="C667" s="4" t="s">
        <v>1246</v>
      </c>
      <c r="D667" s="2" t="s">
        <v>1129</v>
      </c>
      <c r="E667" s="2" t="s">
        <v>16</v>
      </c>
      <c r="F667" s="2" t="s">
        <v>17</v>
      </c>
      <c r="G667" s="2"/>
      <c r="H667" s="2"/>
      <c r="I667" s="2"/>
      <c r="J667" s="2" t="s">
        <v>755</v>
      </c>
      <c r="K667" s="3">
        <v>41776</v>
      </c>
      <c r="L667" s="2"/>
      <c r="M667" s="2"/>
      <c r="N667" s="2" t="s">
        <v>18</v>
      </c>
    </row>
    <row r="668" spans="1:14" ht="15.75" customHeight="1" x14ac:dyDescent="0.35">
      <c r="A668" s="2" t="s">
        <v>1247</v>
      </c>
      <c r="B668" s="2" t="str" cm="1">
        <f t="array" ref="B668">_xlfn.IFS(AND(LEN('Special Help Table'!$A668)-(LEN(SUBSTITUTE('Special Help Table'!$A668,";","")))=0,LEN('Special Help Table'!$A668)-LEN(SUBSTITUTE('Special Help Table'!$A668,",",""))=1,LEN('Special Help Table'!$A668)-LEN(SUBSTITUTE('Special Help Table'!$A668,"and ",""))=0),MID('Special Help Table'!$A668&amp;" "&amp;'Special Help Table'!$A668,SEARCH(", ",'Special Help Table'!$A668)+1,LEN('Special Help Table'!$A668)),AND(LEN('Special Help Table'!$A668)-(LEN(SUBSTITUTE('Special Help Table'!$A668,";","")))=1,LEN('Special Help Table'!$A668)-LEN(SUBSTITUTE('Special Help Table'!$A668,"and ",""))=0),MID('Special Help Table'!$A668,SEARCH(",",'Special Help Table'!$A668)+1,(SEARCH(";",'Special Help Table'!$A668)-1)-SEARCH(",",'Special Help Table'!$A668))&amp;" "&amp;LEFT('Special Help Table'!$A668,SEARCH(",",'Special Help Table'!$A668)-1)&amp;";"&amp;RIGHT('Special Help Table'!$A668,LEN('Special Help Table'!$A668)-SEARCH(",",'Special Help Table'!$A668,SEARCH(";",'Special Help Table'!$A668)))&amp;" "&amp;MID('Special Help Table'!$A668,SEARCH("; ",'Special Help Table'!$A668)+2,SEARCH(",",'Special Help Table'!$A668,SEARCH(";",'Special Help Table'!$A668))-SEARCH(";",'Special Help Table'!$A668)-2),AND(LEN('Special Help Table'!$A668)-LEN(SUBSTITUTE('Special Help Table'!$A668,"and ",""))=0,LEN('Special Help Table'!$A668)-LEN(SUBSTITUTE('Special Help Table'!$A668,";",""))=0),'Special Help Table'!$A668,AND(LEN('Special Help Table'!$A668)-LEN(SUBSTITUTE('Special Help Table'!$A668,",","")=1),LEN('Special Help Table'!$A668)-LEN(SUBSTITUTE('Special Help Table'!$A668," ","")=20),LEN('Special Help Table'!$A668)-LEN(SUBSTITUTE('Special Help Table'!$A668," and",""))=0,LEN('Special Help Table'!$A668)-LEN(SUBSTITUTE('Special Help Table'!$A668,",","",FIND(" ",'Special Help Table'!$A668)+1))=0),RIGHT('Special Help Table'!$A668,LEN('Special Help Table'!$A668)-FIND(", ",'Special Help Table'!$A668))&amp;" "&amp;LEFT('Special Help Table'!$A668,FIND(",",'Special Help Table'!$A668)-1),AND(LEN('Special Help Table'!$A668)-LEN(SUBSTITUTE('Special Help Table'!$A668,"editor",""))=6,LEN('Special Help Table'!$A668)-LEN(SUBSTITUTE('Special Help Table'!$A668,"(",""))=0,LEN('Special Help Table'!$A668)-LEN(SUBSTITUTE('Special Help Table'!$A668,"and",""))=3,LEN('Special Help Table'!$A668)-LEN(SUBSTITUTE('Special Help Table'!$A668,",",""))=1,LEN('Special Help Table'!$A668)-LEN(SUBSTITUTE('Special Help Table'!$A668," ",""))=3),'Special Help Table'!$A668)</f>
        <v xml:space="preserve"> Robert B. Somerville</v>
      </c>
      <c r="C668" s="4" t="s">
        <v>1248</v>
      </c>
      <c r="D668" s="2"/>
      <c r="E668" s="2" t="s">
        <v>16</v>
      </c>
      <c r="F668" s="2" t="s">
        <v>17</v>
      </c>
      <c r="G668" s="2"/>
      <c r="H668" s="2"/>
      <c r="I668" s="2"/>
      <c r="J668" s="2" t="s">
        <v>89</v>
      </c>
      <c r="K668" s="3">
        <v>42856</v>
      </c>
      <c r="L668" s="2"/>
      <c r="M668" s="2"/>
      <c r="N668" s="2" t="s">
        <v>18</v>
      </c>
    </row>
    <row r="669" spans="1:14" ht="15.75" customHeight="1" x14ac:dyDescent="0.35">
      <c r="A669" s="2" t="s">
        <v>1249</v>
      </c>
      <c r="B669" s="2" t="str" cm="1">
        <f t="array" ref="B669">_xlfn.IFS(AND(LEN('Special Help Table'!$A669)-(LEN(SUBSTITUTE('Special Help Table'!$A669,";","")))=0,LEN('Special Help Table'!$A669)-LEN(SUBSTITUTE('Special Help Table'!$A669,",",""))=1,LEN('Special Help Table'!$A669)-LEN(SUBSTITUTE('Special Help Table'!$A669,"and ",""))=0),MID('Special Help Table'!$A669&amp;" "&amp;'Special Help Table'!$A669,SEARCH(", ",'Special Help Table'!$A669)+1,LEN('Special Help Table'!$A669)),AND(LEN('Special Help Table'!$A669)-(LEN(SUBSTITUTE('Special Help Table'!$A669,";","")))=1,LEN('Special Help Table'!$A669)-LEN(SUBSTITUTE('Special Help Table'!$A669,"and ",""))=0),MID('Special Help Table'!$A669,SEARCH(",",'Special Help Table'!$A669)+1,(SEARCH(";",'Special Help Table'!$A669)-1)-SEARCH(",",'Special Help Table'!$A669))&amp;" "&amp;LEFT('Special Help Table'!$A669,SEARCH(",",'Special Help Table'!$A669)-1)&amp;";"&amp;RIGHT('Special Help Table'!$A669,LEN('Special Help Table'!$A669)-SEARCH(",",'Special Help Table'!$A669,SEARCH(";",'Special Help Table'!$A669)))&amp;" "&amp;MID('Special Help Table'!$A669,SEARCH("; ",'Special Help Table'!$A669)+2,SEARCH(",",'Special Help Table'!$A669,SEARCH(";",'Special Help Table'!$A669))-SEARCH(";",'Special Help Table'!$A669)-2),AND(LEN('Special Help Table'!$A669)-LEN(SUBSTITUTE('Special Help Table'!$A669,"and ",""))=0,LEN('Special Help Table'!$A669)-LEN(SUBSTITUTE('Special Help Table'!$A669,";",""))=0),'Special Help Table'!$A669,AND(LEN('Special Help Table'!$A669)-LEN(SUBSTITUTE('Special Help Table'!$A669,",","")=1),LEN('Special Help Table'!$A669)-LEN(SUBSTITUTE('Special Help Table'!$A669," ","")=20),LEN('Special Help Table'!$A669)-LEN(SUBSTITUTE('Special Help Table'!$A669," and",""))=0,LEN('Special Help Table'!$A669)-LEN(SUBSTITUTE('Special Help Table'!$A669,",","",FIND(" ",'Special Help Table'!$A669)+1))=0),RIGHT('Special Help Table'!$A669,LEN('Special Help Table'!$A669)-FIND(", ",'Special Help Table'!$A669))&amp;" "&amp;LEFT('Special Help Table'!$A669,FIND(",",'Special Help Table'!$A669)-1),AND(LEN('Special Help Table'!$A669)-LEN(SUBSTITUTE('Special Help Table'!$A669,"editor",""))=6,LEN('Special Help Table'!$A669)-LEN(SUBSTITUTE('Special Help Table'!$A669,"(",""))=0,LEN('Special Help Table'!$A669)-LEN(SUBSTITUTE('Special Help Table'!$A669,"and",""))=3,LEN('Special Help Table'!$A669)-LEN(SUBSTITUTE('Special Help Table'!$A669,",",""))=1,LEN('Special Help Table'!$A669)-LEN(SUBSTITUTE('Special Help Table'!$A669," ",""))=3),'Special Help Table'!$A669)</f>
        <v>Southworth</v>
      </c>
      <c r="C669" s="4" t="s">
        <v>1250</v>
      </c>
      <c r="D669" s="2" t="s">
        <v>1141</v>
      </c>
      <c r="E669" s="2" t="s">
        <v>16</v>
      </c>
      <c r="F669" s="2" t="s">
        <v>151</v>
      </c>
      <c r="G669" s="2"/>
      <c r="H669" s="2"/>
      <c r="I669" s="2"/>
      <c r="J669" s="2" t="s">
        <v>152</v>
      </c>
      <c r="K669" s="3">
        <v>41712</v>
      </c>
      <c r="L669" s="2"/>
      <c r="M669" s="2"/>
      <c r="N669" s="2" t="s">
        <v>18</v>
      </c>
    </row>
    <row r="670" spans="1:14" ht="15.75" customHeight="1" x14ac:dyDescent="0.35">
      <c r="A670" s="2" t="s">
        <v>1249</v>
      </c>
      <c r="B670" s="2" t="str" cm="1">
        <f t="array" ref="B670">_xlfn.IFS(AND(LEN('Special Help Table'!$A670)-(LEN(SUBSTITUTE('Special Help Table'!$A670,";","")))=0,LEN('Special Help Table'!$A670)-LEN(SUBSTITUTE('Special Help Table'!$A670,",",""))=1,LEN('Special Help Table'!$A670)-LEN(SUBSTITUTE('Special Help Table'!$A670,"and ",""))=0),MID('Special Help Table'!$A670&amp;" "&amp;'Special Help Table'!$A670,SEARCH(", ",'Special Help Table'!$A670)+1,LEN('Special Help Table'!$A670)),AND(LEN('Special Help Table'!$A670)-(LEN(SUBSTITUTE('Special Help Table'!$A670,";","")))=1,LEN('Special Help Table'!$A670)-LEN(SUBSTITUTE('Special Help Table'!$A670,"and ",""))=0),MID('Special Help Table'!$A670,SEARCH(",",'Special Help Table'!$A670)+1,(SEARCH(";",'Special Help Table'!$A670)-1)-SEARCH(",",'Special Help Table'!$A670))&amp;" "&amp;LEFT('Special Help Table'!$A670,SEARCH(",",'Special Help Table'!$A670)-1)&amp;";"&amp;RIGHT('Special Help Table'!$A670,LEN('Special Help Table'!$A670)-SEARCH(",",'Special Help Table'!$A670,SEARCH(";",'Special Help Table'!$A670)))&amp;" "&amp;MID('Special Help Table'!$A670,SEARCH("; ",'Special Help Table'!$A670)+2,SEARCH(",",'Special Help Table'!$A670,SEARCH(";",'Special Help Table'!$A670))-SEARCH(";",'Special Help Table'!$A670)-2),AND(LEN('Special Help Table'!$A670)-LEN(SUBSTITUTE('Special Help Table'!$A670,"and ",""))=0,LEN('Special Help Table'!$A670)-LEN(SUBSTITUTE('Special Help Table'!$A670,";",""))=0),'Special Help Table'!$A670,AND(LEN('Special Help Table'!$A670)-LEN(SUBSTITUTE('Special Help Table'!$A670,",","")=1),LEN('Special Help Table'!$A670)-LEN(SUBSTITUTE('Special Help Table'!$A670," ","")=20),LEN('Special Help Table'!$A670)-LEN(SUBSTITUTE('Special Help Table'!$A670," and",""))=0,LEN('Special Help Table'!$A670)-LEN(SUBSTITUTE('Special Help Table'!$A670,",","",FIND(" ",'Special Help Table'!$A670)+1))=0),RIGHT('Special Help Table'!$A670,LEN('Special Help Table'!$A670)-FIND(", ",'Special Help Table'!$A670))&amp;" "&amp;LEFT('Special Help Table'!$A670,FIND(",",'Special Help Table'!$A670)-1),AND(LEN('Special Help Table'!$A670)-LEN(SUBSTITUTE('Special Help Table'!$A670,"editor",""))=6,LEN('Special Help Table'!$A670)-LEN(SUBSTITUTE('Special Help Table'!$A670,"(",""))=0,LEN('Special Help Table'!$A670)-LEN(SUBSTITUTE('Special Help Table'!$A670,"and",""))=3,LEN('Special Help Table'!$A670)-LEN(SUBSTITUTE('Special Help Table'!$A670,",",""))=1,LEN('Special Help Table'!$A670)-LEN(SUBSTITUTE('Special Help Table'!$A670," ",""))=3),'Special Help Table'!$A670)</f>
        <v>Southworth</v>
      </c>
      <c r="C670" s="4" t="s">
        <v>1251</v>
      </c>
      <c r="D670" s="2" t="s">
        <v>1141</v>
      </c>
      <c r="E670" s="2" t="s">
        <v>16</v>
      </c>
      <c r="F670" s="2" t="s">
        <v>151</v>
      </c>
      <c r="G670" s="2"/>
      <c r="H670" s="2"/>
      <c r="I670" s="2"/>
      <c r="J670" s="2" t="s">
        <v>152</v>
      </c>
      <c r="K670" s="3">
        <v>41712</v>
      </c>
      <c r="L670" s="2"/>
      <c r="M670" s="2"/>
      <c r="N670" s="2" t="s">
        <v>18</v>
      </c>
    </row>
    <row r="671" spans="1:14" ht="15.75" customHeight="1" x14ac:dyDescent="0.35">
      <c r="A671" s="2" t="s">
        <v>1252</v>
      </c>
      <c r="B671" s="2" t="str" cm="1">
        <f t="array" ref="B671">_xlfn.IFS(AND(LEN('Special Help Table'!$A671)-(LEN(SUBSTITUTE('Special Help Table'!$A671,";","")))=0,LEN('Special Help Table'!$A671)-LEN(SUBSTITUTE('Special Help Table'!$A671,",",""))=1,LEN('Special Help Table'!$A671)-LEN(SUBSTITUTE('Special Help Table'!$A671,"and ",""))=0),MID('Special Help Table'!$A671&amp;" "&amp;'Special Help Table'!$A671,SEARCH(", ",'Special Help Table'!$A671)+1,LEN('Special Help Table'!$A671)),AND(LEN('Special Help Table'!$A671)-(LEN(SUBSTITUTE('Special Help Table'!$A671,";","")))=1,LEN('Special Help Table'!$A671)-LEN(SUBSTITUTE('Special Help Table'!$A671,"and ",""))=0),MID('Special Help Table'!$A671,SEARCH(",",'Special Help Table'!$A671)+1,(SEARCH(";",'Special Help Table'!$A671)-1)-SEARCH(",",'Special Help Table'!$A671))&amp;" "&amp;LEFT('Special Help Table'!$A671,SEARCH(",",'Special Help Table'!$A671)-1)&amp;";"&amp;RIGHT('Special Help Table'!$A671,LEN('Special Help Table'!$A671)-SEARCH(",",'Special Help Table'!$A671,SEARCH(";",'Special Help Table'!$A671)))&amp;" "&amp;MID('Special Help Table'!$A671,SEARCH("; ",'Special Help Table'!$A671)+2,SEARCH(",",'Special Help Table'!$A671,SEARCH(";",'Special Help Table'!$A671))-SEARCH(";",'Special Help Table'!$A671)-2),AND(LEN('Special Help Table'!$A671)-LEN(SUBSTITUTE('Special Help Table'!$A671,"and ",""))=0,LEN('Special Help Table'!$A671)-LEN(SUBSTITUTE('Special Help Table'!$A671,";",""))=0),'Special Help Table'!$A671,AND(LEN('Special Help Table'!$A671)-LEN(SUBSTITUTE('Special Help Table'!$A671,",","")=1),LEN('Special Help Table'!$A671)-LEN(SUBSTITUTE('Special Help Table'!$A671," ","")=20),LEN('Special Help Table'!$A671)-LEN(SUBSTITUTE('Special Help Table'!$A671," and",""))=0,LEN('Special Help Table'!$A671)-LEN(SUBSTITUTE('Special Help Table'!$A671,",","",FIND(" ",'Special Help Table'!$A671)+1))=0),RIGHT('Special Help Table'!$A671,LEN('Special Help Table'!$A671)-FIND(", ",'Special Help Table'!$A671))&amp;" "&amp;LEFT('Special Help Table'!$A671,FIND(",",'Special Help Table'!$A671)-1),AND(LEN('Special Help Table'!$A671)-LEN(SUBSTITUTE('Special Help Table'!$A671,"editor",""))=6,LEN('Special Help Table'!$A671)-LEN(SUBSTITUTE('Special Help Table'!$A671,"(",""))=0,LEN('Special Help Table'!$A671)-LEN(SUBSTITUTE('Special Help Table'!$A671,"and",""))=3,LEN('Special Help Table'!$A671)-LEN(SUBSTITUTE('Special Help Table'!$A671,",",""))=1,LEN('Special Help Table'!$A671)-LEN(SUBSTITUTE('Special Help Table'!$A671," ",""))=3),'Special Help Table'!$A671)</f>
        <v xml:space="preserve"> R.C. Sproul</v>
      </c>
      <c r="C671" s="4" t="s">
        <v>1253</v>
      </c>
      <c r="D671" s="2"/>
      <c r="E671" s="2" t="s">
        <v>16</v>
      </c>
      <c r="F671" s="2" t="s">
        <v>126</v>
      </c>
      <c r="G671" s="2"/>
      <c r="H671" s="2"/>
      <c r="I671" s="2"/>
      <c r="J671" s="2" t="s">
        <v>449</v>
      </c>
      <c r="K671" s="3"/>
      <c r="L671" s="2"/>
      <c r="M671" s="2"/>
      <c r="N671" s="2" t="s">
        <v>18</v>
      </c>
    </row>
    <row r="672" spans="1:14" ht="15.75" customHeight="1" x14ac:dyDescent="0.35">
      <c r="A672" s="2" t="s">
        <v>1252</v>
      </c>
      <c r="B672" s="2" t="str" cm="1">
        <f t="array" ref="B672">_xlfn.IFS(AND(LEN('Special Help Table'!$A672)-(LEN(SUBSTITUTE('Special Help Table'!$A672,";","")))=0,LEN('Special Help Table'!$A672)-LEN(SUBSTITUTE('Special Help Table'!$A672,",",""))=1,LEN('Special Help Table'!$A672)-LEN(SUBSTITUTE('Special Help Table'!$A672,"and ",""))=0),MID('Special Help Table'!$A672&amp;" "&amp;'Special Help Table'!$A672,SEARCH(", ",'Special Help Table'!$A672)+1,LEN('Special Help Table'!$A672)),AND(LEN('Special Help Table'!$A672)-(LEN(SUBSTITUTE('Special Help Table'!$A672,";","")))=1,LEN('Special Help Table'!$A672)-LEN(SUBSTITUTE('Special Help Table'!$A672,"and ",""))=0),MID('Special Help Table'!$A672,SEARCH(",",'Special Help Table'!$A672)+1,(SEARCH(";",'Special Help Table'!$A672)-1)-SEARCH(",",'Special Help Table'!$A672))&amp;" "&amp;LEFT('Special Help Table'!$A672,SEARCH(",",'Special Help Table'!$A672)-1)&amp;";"&amp;RIGHT('Special Help Table'!$A672,LEN('Special Help Table'!$A672)-SEARCH(",",'Special Help Table'!$A672,SEARCH(";",'Special Help Table'!$A672)))&amp;" "&amp;MID('Special Help Table'!$A672,SEARCH("; ",'Special Help Table'!$A672)+2,SEARCH(",",'Special Help Table'!$A672,SEARCH(";",'Special Help Table'!$A672))-SEARCH(";",'Special Help Table'!$A672)-2),AND(LEN('Special Help Table'!$A672)-LEN(SUBSTITUTE('Special Help Table'!$A672,"and ",""))=0,LEN('Special Help Table'!$A672)-LEN(SUBSTITUTE('Special Help Table'!$A672,";",""))=0),'Special Help Table'!$A672,AND(LEN('Special Help Table'!$A672)-LEN(SUBSTITUTE('Special Help Table'!$A672,",","")=1),LEN('Special Help Table'!$A672)-LEN(SUBSTITUTE('Special Help Table'!$A672," ","")=20),LEN('Special Help Table'!$A672)-LEN(SUBSTITUTE('Special Help Table'!$A672," and",""))=0,LEN('Special Help Table'!$A672)-LEN(SUBSTITUTE('Special Help Table'!$A672,",","",FIND(" ",'Special Help Table'!$A672)+1))=0),RIGHT('Special Help Table'!$A672,LEN('Special Help Table'!$A672)-FIND(", ",'Special Help Table'!$A672))&amp;" "&amp;LEFT('Special Help Table'!$A672,FIND(",",'Special Help Table'!$A672)-1),AND(LEN('Special Help Table'!$A672)-LEN(SUBSTITUTE('Special Help Table'!$A672,"editor",""))=6,LEN('Special Help Table'!$A672)-LEN(SUBSTITUTE('Special Help Table'!$A672,"(",""))=0,LEN('Special Help Table'!$A672)-LEN(SUBSTITUTE('Special Help Table'!$A672,"and",""))=3,LEN('Special Help Table'!$A672)-LEN(SUBSTITUTE('Special Help Table'!$A672,",",""))=1,LEN('Special Help Table'!$A672)-LEN(SUBSTITUTE('Special Help Table'!$A672," ",""))=3),'Special Help Table'!$A672)</f>
        <v xml:space="preserve"> R.C. Sproul</v>
      </c>
      <c r="C672" s="4" t="s">
        <v>1254</v>
      </c>
      <c r="D672" s="2"/>
      <c r="E672" s="2" t="s">
        <v>16</v>
      </c>
      <c r="F672" s="2" t="s">
        <v>17</v>
      </c>
      <c r="G672" s="2"/>
      <c r="H672" s="2"/>
      <c r="I672" s="2"/>
      <c r="J672" s="2" t="s">
        <v>622</v>
      </c>
      <c r="K672" s="3"/>
      <c r="L672" s="2"/>
      <c r="M672" s="2"/>
      <c r="N672" s="2" t="s">
        <v>18</v>
      </c>
    </row>
    <row r="673" spans="1:14" ht="15.75" customHeight="1" x14ac:dyDescent="0.35">
      <c r="A673" s="2" t="s">
        <v>1255</v>
      </c>
      <c r="B673" s="2" t="str" cm="1">
        <f t="array" ref="B673">_xlfn.IFS(AND(LEN('Special Help Table'!$A673)-(LEN(SUBSTITUTE('Special Help Table'!$A673,";","")))=0,LEN('Special Help Table'!$A673)-LEN(SUBSTITUTE('Special Help Table'!$A673,",",""))=1,LEN('Special Help Table'!$A673)-LEN(SUBSTITUTE('Special Help Table'!$A673,"and ",""))=0),MID('Special Help Table'!$A673&amp;" "&amp;'Special Help Table'!$A673,SEARCH(", ",'Special Help Table'!$A673)+1,LEN('Special Help Table'!$A673)),AND(LEN('Special Help Table'!$A673)-(LEN(SUBSTITUTE('Special Help Table'!$A673,";","")))=1,LEN('Special Help Table'!$A673)-LEN(SUBSTITUTE('Special Help Table'!$A673,"and ",""))=0),MID('Special Help Table'!$A673,SEARCH(",",'Special Help Table'!$A673)+1,(SEARCH(";",'Special Help Table'!$A673)-1)-SEARCH(",",'Special Help Table'!$A673))&amp;" "&amp;LEFT('Special Help Table'!$A673,SEARCH(",",'Special Help Table'!$A673)-1)&amp;";"&amp;RIGHT('Special Help Table'!$A673,LEN('Special Help Table'!$A673)-SEARCH(",",'Special Help Table'!$A673,SEARCH(";",'Special Help Table'!$A673)))&amp;" "&amp;MID('Special Help Table'!$A673,SEARCH("; ",'Special Help Table'!$A673)+2,SEARCH(",",'Special Help Table'!$A673,SEARCH(";",'Special Help Table'!$A673))-SEARCH(";",'Special Help Table'!$A673)-2),AND(LEN('Special Help Table'!$A673)-LEN(SUBSTITUTE('Special Help Table'!$A673,"and ",""))=0,LEN('Special Help Table'!$A673)-LEN(SUBSTITUTE('Special Help Table'!$A673,";",""))=0),'Special Help Table'!$A673,AND(LEN('Special Help Table'!$A673)-LEN(SUBSTITUTE('Special Help Table'!$A673,",","")=1),LEN('Special Help Table'!$A673)-LEN(SUBSTITUTE('Special Help Table'!$A673," ","")=20),LEN('Special Help Table'!$A673)-LEN(SUBSTITUTE('Special Help Table'!$A673," and",""))=0,LEN('Special Help Table'!$A673)-LEN(SUBSTITUTE('Special Help Table'!$A673,",","",FIND(" ",'Special Help Table'!$A673)+1))=0),RIGHT('Special Help Table'!$A673,LEN('Special Help Table'!$A673)-FIND(", ",'Special Help Table'!$A673))&amp;" "&amp;LEFT('Special Help Table'!$A673,FIND(",",'Special Help Table'!$A673)-1),AND(LEN('Special Help Table'!$A673)-LEN(SUBSTITUTE('Special Help Table'!$A673,"editor",""))=6,LEN('Special Help Table'!$A673)-LEN(SUBSTITUTE('Special Help Table'!$A673,"(",""))=0,LEN('Special Help Table'!$A673)-LEN(SUBSTITUTE('Special Help Table'!$A673,"and",""))=3,LEN('Special Help Table'!$A673)-LEN(SUBSTITUTE('Special Help Table'!$A673,",",""))=1,LEN('Special Help Table'!$A673)-LEN(SUBSTITUTE('Special Help Table'!$A673," ",""))=3),'Special Help Table'!$A673)</f>
        <v xml:space="preserve"> R.C.  Sproul</v>
      </c>
      <c r="C673" s="4" t="s">
        <v>1256</v>
      </c>
      <c r="D673" s="2"/>
      <c r="E673" s="2" t="s">
        <v>16</v>
      </c>
      <c r="F673" s="2" t="s">
        <v>28</v>
      </c>
      <c r="G673" s="2"/>
      <c r="H673" s="2"/>
      <c r="I673" s="2"/>
      <c r="J673" s="2"/>
      <c r="K673" s="3">
        <v>44044</v>
      </c>
      <c r="L673" s="2"/>
      <c r="M673" s="2"/>
      <c r="N673" s="2" t="s">
        <v>18</v>
      </c>
    </row>
    <row r="674" spans="1:14" ht="15.75" customHeight="1" x14ac:dyDescent="0.35">
      <c r="A674" s="2" t="s">
        <v>1255</v>
      </c>
      <c r="B674" s="2" t="str" cm="1">
        <f t="array" ref="B674">_xlfn.IFS(AND(LEN('Special Help Table'!$A674)-(LEN(SUBSTITUTE('Special Help Table'!$A674,";","")))=0,LEN('Special Help Table'!$A674)-LEN(SUBSTITUTE('Special Help Table'!$A674,",",""))=1,LEN('Special Help Table'!$A674)-LEN(SUBSTITUTE('Special Help Table'!$A674,"and ",""))=0),MID('Special Help Table'!$A674&amp;" "&amp;'Special Help Table'!$A674,SEARCH(", ",'Special Help Table'!$A674)+1,LEN('Special Help Table'!$A674)),AND(LEN('Special Help Table'!$A674)-(LEN(SUBSTITUTE('Special Help Table'!$A674,";","")))=1,LEN('Special Help Table'!$A674)-LEN(SUBSTITUTE('Special Help Table'!$A674,"and ",""))=0),MID('Special Help Table'!$A674,SEARCH(",",'Special Help Table'!$A674)+1,(SEARCH(";",'Special Help Table'!$A674)-1)-SEARCH(",",'Special Help Table'!$A674))&amp;" "&amp;LEFT('Special Help Table'!$A674,SEARCH(",",'Special Help Table'!$A674)-1)&amp;";"&amp;RIGHT('Special Help Table'!$A674,LEN('Special Help Table'!$A674)-SEARCH(",",'Special Help Table'!$A674,SEARCH(";",'Special Help Table'!$A674)))&amp;" "&amp;MID('Special Help Table'!$A674,SEARCH("; ",'Special Help Table'!$A674)+2,SEARCH(",",'Special Help Table'!$A674,SEARCH(";",'Special Help Table'!$A674))-SEARCH(";",'Special Help Table'!$A674)-2),AND(LEN('Special Help Table'!$A674)-LEN(SUBSTITUTE('Special Help Table'!$A674,"and ",""))=0,LEN('Special Help Table'!$A674)-LEN(SUBSTITUTE('Special Help Table'!$A674,";",""))=0),'Special Help Table'!$A674,AND(LEN('Special Help Table'!$A674)-LEN(SUBSTITUTE('Special Help Table'!$A674,",","")=1),LEN('Special Help Table'!$A674)-LEN(SUBSTITUTE('Special Help Table'!$A674," ","")=20),LEN('Special Help Table'!$A674)-LEN(SUBSTITUTE('Special Help Table'!$A674," and",""))=0,LEN('Special Help Table'!$A674)-LEN(SUBSTITUTE('Special Help Table'!$A674,",","",FIND(" ",'Special Help Table'!$A674)+1))=0),RIGHT('Special Help Table'!$A674,LEN('Special Help Table'!$A674)-FIND(", ",'Special Help Table'!$A674))&amp;" "&amp;LEFT('Special Help Table'!$A674,FIND(",",'Special Help Table'!$A674)-1),AND(LEN('Special Help Table'!$A674)-LEN(SUBSTITUTE('Special Help Table'!$A674,"editor",""))=6,LEN('Special Help Table'!$A674)-LEN(SUBSTITUTE('Special Help Table'!$A674,"(",""))=0,LEN('Special Help Table'!$A674)-LEN(SUBSTITUTE('Special Help Table'!$A674,"and",""))=3,LEN('Special Help Table'!$A674)-LEN(SUBSTITUTE('Special Help Table'!$A674,",",""))=1,LEN('Special Help Table'!$A674)-LEN(SUBSTITUTE('Special Help Table'!$A674," ",""))=3),'Special Help Table'!$A674)</f>
        <v xml:space="preserve"> R.C.  Sproul</v>
      </c>
      <c r="C674" s="4" t="s">
        <v>1257</v>
      </c>
      <c r="D674" s="2"/>
      <c r="E674" s="2" t="s">
        <v>16</v>
      </c>
      <c r="F674" s="2" t="s">
        <v>20</v>
      </c>
      <c r="G674" s="2"/>
      <c r="H674" s="2"/>
      <c r="I674" s="2"/>
      <c r="J674" s="2" t="s">
        <v>1258</v>
      </c>
      <c r="K674" s="3">
        <v>41468</v>
      </c>
      <c r="L674" s="2"/>
      <c r="M674" s="2"/>
      <c r="N674" s="2" t="s">
        <v>18</v>
      </c>
    </row>
    <row r="675" spans="1:14" ht="15.75" customHeight="1" x14ac:dyDescent="0.35">
      <c r="A675" s="2" t="s">
        <v>1255</v>
      </c>
      <c r="B675" s="2" t="str" cm="1">
        <f t="array" ref="B675">_xlfn.IFS(AND(LEN('Special Help Table'!$A675)-(LEN(SUBSTITUTE('Special Help Table'!$A675,";","")))=0,LEN('Special Help Table'!$A675)-LEN(SUBSTITUTE('Special Help Table'!$A675,",",""))=1,LEN('Special Help Table'!$A675)-LEN(SUBSTITUTE('Special Help Table'!$A675,"and ",""))=0),MID('Special Help Table'!$A675&amp;" "&amp;'Special Help Table'!$A675,SEARCH(", ",'Special Help Table'!$A675)+1,LEN('Special Help Table'!$A675)),AND(LEN('Special Help Table'!$A675)-(LEN(SUBSTITUTE('Special Help Table'!$A675,";","")))=1,LEN('Special Help Table'!$A675)-LEN(SUBSTITUTE('Special Help Table'!$A675,"and ",""))=0),MID('Special Help Table'!$A675,SEARCH(",",'Special Help Table'!$A675)+1,(SEARCH(";",'Special Help Table'!$A675)-1)-SEARCH(",",'Special Help Table'!$A675))&amp;" "&amp;LEFT('Special Help Table'!$A675,SEARCH(",",'Special Help Table'!$A675)-1)&amp;";"&amp;RIGHT('Special Help Table'!$A675,LEN('Special Help Table'!$A675)-SEARCH(",",'Special Help Table'!$A675,SEARCH(";",'Special Help Table'!$A675)))&amp;" "&amp;MID('Special Help Table'!$A675,SEARCH("; ",'Special Help Table'!$A675)+2,SEARCH(",",'Special Help Table'!$A675,SEARCH(";",'Special Help Table'!$A675))-SEARCH(";",'Special Help Table'!$A675)-2),AND(LEN('Special Help Table'!$A675)-LEN(SUBSTITUTE('Special Help Table'!$A675,"and ",""))=0,LEN('Special Help Table'!$A675)-LEN(SUBSTITUTE('Special Help Table'!$A675,";",""))=0),'Special Help Table'!$A675,AND(LEN('Special Help Table'!$A675)-LEN(SUBSTITUTE('Special Help Table'!$A675,",","")=1),LEN('Special Help Table'!$A675)-LEN(SUBSTITUTE('Special Help Table'!$A675," ","")=20),LEN('Special Help Table'!$A675)-LEN(SUBSTITUTE('Special Help Table'!$A675," and",""))=0,LEN('Special Help Table'!$A675)-LEN(SUBSTITUTE('Special Help Table'!$A675,",","",FIND(" ",'Special Help Table'!$A675)+1))=0),RIGHT('Special Help Table'!$A675,LEN('Special Help Table'!$A675)-FIND(", ",'Special Help Table'!$A675))&amp;" "&amp;LEFT('Special Help Table'!$A675,FIND(",",'Special Help Table'!$A675)-1),AND(LEN('Special Help Table'!$A675)-LEN(SUBSTITUTE('Special Help Table'!$A675,"editor",""))=6,LEN('Special Help Table'!$A675)-LEN(SUBSTITUTE('Special Help Table'!$A675,"(",""))=0,LEN('Special Help Table'!$A675)-LEN(SUBSTITUTE('Special Help Table'!$A675,"and",""))=3,LEN('Special Help Table'!$A675)-LEN(SUBSTITUTE('Special Help Table'!$A675,",",""))=1,LEN('Special Help Table'!$A675)-LEN(SUBSTITUTE('Special Help Table'!$A675," ",""))=3),'Special Help Table'!$A675)</f>
        <v xml:space="preserve"> R.C.  Sproul</v>
      </c>
      <c r="C675" s="4" t="s">
        <v>1259</v>
      </c>
      <c r="D675" s="2"/>
      <c r="E675" s="2" t="s">
        <v>16</v>
      </c>
      <c r="F675" s="2" t="s">
        <v>28</v>
      </c>
      <c r="G675" s="2"/>
      <c r="H675" s="2"/>
      <c r="I675" s="2"/>
      <c r="J675" s="2"/>
      <c r="K675" s="3">
        <v>40247</v>
      </c>
      <c r="L675" s="2"/>
      <c r="M675" s="2"/>
      <c r="N675" s="2" t="s">
        <v>18</v>
      </c>
    </row>
    <row r="676" spans="1:14" ht="15.75" customHeight="1" x14ac:dyDescent="0.35">
      <c r="A676" s="2" t="s">
        <v>1255</v>
      </c>
      <c r="B676" s="2" t="str" cm="1">
        <f t="array" ref="B676">_xlfn.IFS(AND(LEN('Special Help Table'!$A676)-(LEN(SUBSTITUTE('Special Help Table'!$A676,";","")))=0,LEN('Special Help Table'!$A676)-LEN(SUBSTITUTE('Special Help Table'!$A676,",",""))=1,LEN('Special Help Table'!$A676)-LEN(SUBSTITUTE('Special Help Table'!$A676,"and ",""))=0),MID('Special Help Table'!$A676&amp;" "&amp;'Special Help Table'!$A676,SEARCH(", ",'Special Help Table'!$A676)+1,LEN('Special Help Table'!$A676)),AND(LEN('Special Help Table'!$A676)-(LEN(SUBSTITUTE('Special Help Table'!$A676,";","")))=1,LEN('Special Help Table'!$A676)-LEN(SUBSTITUTE('Special Help Table'!$A676,"and ",""))=0),MID('Special Help Table'!$A676,SEARCH(",",'Special Help Table'!$A676)+1,(SEARCH(";",'Special Help Table'!$A676)-1)-SEARCH(",",'Special Help Table'!$A676))&amp;" "&amp;LEFT('Special Help Table'!$A676,SEARCH(",",'Special Help Table'!$A676)-1)&amp;";"&amp;RIGHT('Special Help Table'!$A676,LEN('Special Help Table'!$A676)-SEARCH(",",'Special Help Table'!$A676,SEARCH(";",'Special Help Table'!$A676)))&amp;" "&amp;MID('Special Help Table'!$A676,SEARCH("; ",'Special Help Table'!$A676)+2,SEARCH(",",'Special Help Table'!$A676,SEARCH(";",'Special Help Table'!$A676))-SEARCH(";",'Special Help Table'!$A676)-2),AND(LEN('Special Help Table'!$A676)-LEN(SUBSTITUTE('Special Help Table'!$A676,"and ",""))=0,LEN('Special Help Table'!$A676)-LEN(SUBSTITUTE('Special Help Table'!$A676,";",""))=0),'Special Help Table'!$A676,AND(LEN('Special Help Table'!$A676)-LEN(SUBSTITUTE('Special Help Table'!$A676,",","")=1),LEN('Special Help Table'!$A676)-LEN(SUBSTITUTE('Special Help Table'!$A676," ","")=20),LEN('Special Help Table'!$A676)-LEN(SUBSTITUTE('Special Help Table'!$A676," and",""))=0,LEN('Special Help Table'!$A676)-LEN(SUBSTITUTE('Special Help Table'!$A676,",","",FIND(" ",'Special Help Table'!$A676)+1))=0),RIGHT('Special Help Table'!$A676,LEN('Special Help Table'!$A676)-FIND(", ",'Special Help Table'!$A676))&amp;" "&amp;LEFT('Special Help Table'!$A676,FIND(",",'Special Help Table'!$A676)-1),AND(LEN('Special Help Table'!$A676)-LEN(SUBSTITUTE('Special Help Table'!$A676,"editor",""))=6,LEN('Special Help Table'!$A676)-LEN(SUBSTITUTE('Special Help Table'!$A676,"(",""))=0,LEN('Special Help Table'!$A676)-LEN(SUBSTITUTE('Special Help Table'!$A676,"and",""))=3,LEN('Special Help Table'!$A676)-LEN(SUBSTITUTE('Special Help Table'!$A676,",",""))=1,LEN('Special Help Table'!$A676)-LEN(SUBSTITUTE('Special Help Table'!$A676," ",""))=3),'Special Help Table'!$A676)</f>
        <v xml:space="preserve"> R.C.  Sproul</v>
      </c>
      <c r="C676" s="4" t="s">
        <v>1260</v>
      </c>
      <c r="D676" s="2"/>
      <c r="E676" s="2" t="s">
        <v>16</v>
      </c>
      <c r="F676" s="2" t="s">
        <v>72</v>
      </c>
      <c r="G676" s="2"/>
      <c r="H676" s="2"/>
      <c r="I676" s="2"/>
      <c r="J676" s="2"/>
      <c r="K676" s="3">
        <v>41011</v>
      </c>
      <c r="L676" s="2"/>
      <c r="M676" s="2"/>
      <c r="N676" s="2" t="s">
        <v>18</v>
      </c>
    </row>
    <row r="677" spans="1:14" ht="15.75" customHeight="1" x14ac:dyDescent="0.35">
      <c r="A677" s="2" t="s">
        <v>1255</v>
      </c>
      <c r="B677" s="2" t="str" cm="1">
        <f t="array" ref="B677">_xlfn.IFS(AND(LEN('Special Help Table'!$A677)-(LEN(SUBSTITUTE('Special Help Table'!$A677,";","")))=0,LEN('Special Help Table'!$A677)-LEN(SUBSTITUTE('Special Help Table'!$A677,",",""))=1,LEN('Special Help Table'!$A677)-LEN(SUBSTITUTE('Special Help Table'!$A677,"and ",""))=0),MID('Special Help Table'!$A677&amp;" "&amp;'Special Help Table'!$A677,SEARCH(", ",'Special Help Table'!$A677)+1,LEN('Special Help Table'!$A677)),AND(LEN('Special Help Table'!$A677)-(LEN(SUBSTITUTE('Special Help Table'!$A677,";","")))=1,LEN('Special Help Table'!$A677)-LEN(SUBSTITUTE('Special Help Table'!$A677,"and ",""))=0),MID('Special Help Table'!$A677,SEARCH(",",'Special Help Table'!$A677)+1,(SEARCH(";",'Special Help Table'!$A677)-1)-SEARCH(",",'Special Help Table'!$A677))&amp;" "&amp;LEFT('Special Help Table'!$A677,SEARCH(",",'Special Help Table'!$A677)-1)&amp;";"&amp;RIGHT('Special Help Table'!$A677,LEN('Special Help Table'!$A677)-SEARCH(",",'Special Help Table'!$A677,SEARCH(";",'Special Help Table'!$A677)))&amp;" "&amp;MID('Special Help Table'!$A677,SEARCH("; ",'Special Help Table'!$A677)+2,SEARCH(",",'Special Help Table'!$A677,SEARCH(";",'Special Help Table'!$A677))-SEARCH(";",'Special Help Table'!$A677)-2),AND(LEN('Special Help Table'!$A677)-LEN(SUBSTITUTE('Special Help Table'!$A677,"and ",""))=0,LEN('Special Help Table'!$A677)-LEN(SUBSTITUTE('Special Help Table'!$A677,";",""))=0),'Special Help Table'!$A677,AND(LEN('Special Help Table'!$A677)-LEN(SUBSTITUTE('Special Help Table'!$A677,",","")=1),LEN('Special Help Table'!$A677)-LEN(SUBSTITUTE('Special Help Table'!$A677," ","")=20),LEN('Special Help Table'!$A677)-LEN(SUBSTITUTE('Special Help Table'!$A677," and",""))=0,LEN('Special Help Table'!$A677)-LEN(SUBSTITUTE('Special Help Table'!$A677,",","",FIND(" ",'Special Help Table'!$A677)+1))=0),RIGHT('Special Help Table'!$A677,LEN('Special Help Table'!$A677)-FIND(", ",'Special Help Table'!$A677))&amp;" "&amp;LEFT('Special Help Table'!$A677,FIND(",",'Special Help Table'!$A677)-1),AND(LEN('Special Help Table'!$A677)-LEN(SUBSTITUTE('Special Help Table'!$A677,"editor",""))=6,LEN('Special Help Table'!$A677)-LEN(SUBSTITUTE('Special Help Table'!$A677,"(",""))=0,LEN('Special Help Table'!$A677)-LEN(SUBSTITUTE('Special Help Table'!$A677,"and",""))=3,LEN('Special Help Table'!$A677)-LEN(SUBSTITUTE('Special Help Table'!$A677,",",""))=1,LEN('Special Help Table'!$A677)-LEN(SUBSTITUTE('Special Help Table'!$A677," ",""))=3),'Special Help Table'!$A677)</f>
        <v xml:space="preserve"> R.C.  Sproul</v>
      </c>
      <c r="C677" s="4" t="s">
        <v>1261</v>
      </c>
      <c r="D677" s="2"/>
      <c r="E677" s="2" t="s">
        <v>16</v>
      </c>
      <c r="F677" s="2" t="s">
        <v>28</v>
      </c>
      <c r="G677" s="2"/>
      <c r="H677" s="2"/>
      <c r="I677" s="2"/>
      <c r="J677" s="2"/>
      <c r="K677" s="3">
        <v>41804</v>
      </c>
      <c r="L677" s="2"/>
      <c r="M677" s="2"/>
      <c r="N677" s="2" t="s">
        <v>18</v>
      </c>
    </row>
    <row r="678" spans="1:14" ht="15.75" customHeight="1" x14ac:dyDescent="0.35">
      <c r="A678" s="2" t="s">
        <v>1255</v>
      </c>
      <c r="B678" s="2" t="str" cm="1">
        <f t="array" ref="B678">_xlfn.IFS(AND(LEN('Special Help Table'!$A678)-(LEN(SUBSTITUTE('Special Help Table'!$A678,";","")))=0,LEN('Special Help Table'!$A678)-LEN(SUBSTITUTE('Special Help Table'!$A678,",",""))=1,LEN('Special Help Table'!$A678)-LEN(SUBSTITUTE('Special Help Table'!$A678,"and ",""))=0),MID('Special Help Table'!$A678&amp;" "&amp;'Special Help Table'!$A678,SEARCH(", ",'Special Help Table'!$A678)+1,LEN('Special Help Table'!$A678)),AND(LEN('Special Help Table'!$A678)-(LEN(SUBSTITUTE('Special Help Table'!$A678,";","")))=1,LEN('Special Help Table'!$A678)-LEN(SUBSTITUTE('Special Help Table'!$A678,"and ",""))=0),MID('Special Help Table'!$A678,SEARCH(",",'Special Help Table'!$A678)+1,(SEARCH(";",'Special Help Table'!$A678)-1)-SEARCH(",",'Special Help Table'!$A678))&amp;" "&amp;LEFT('Special Help Table'!$A678,SEARCH(",",'Special Help Table'!$A678)-1)&amp;";"&amp;RIGHT('Special Help Table'!$A678,LEN('Special Help Table'!$A678)-SEARCH(",",'Special Help Table'!$A678,SEARCH(";",'Special Help Table'!$A678)))&amp;" "&amp;MID('Special Help Table'!$A678,SEARCH("; ",'Special Help Table'!$A678)+2,SEARCH(",",'Special Help Table'!$A678,SEARCH(";",'Special Help Table'!$A678))-SEARCH(";",'Special Help Table'!$A678)-2),AND(LEN('Special Help Table'!$A678)-LEN(SUBSTITUTE('Special Help Table'!$A678,"and ",""))=0,LEN('Special Help Table'!$A678)-LEN(SUBSTITUTE('Special Help Table'!$A678,";",""))=0),'Special Help Table'!$A678,AND(LEN('Special Help Table'!$A678)-LEN(SUBSTITUTE('Special Help Table'!$A678,",","")=1),LEN('Special Help Table'!$A678)-LEN(SUBSTITUTE('Special Help Table'!$A678," ","")=20),LEN('Special Help Table'!$A678)-LEN(SUBSTITUTE('Special Help Table'!$A678," and",""))=0,LEN('Special Help Table'!$A678)-LEN(SUBSTITUTE('Special Help Table'!$A678,",","",FIND(" ",'Special Help Table'!$A678)+1))=0),RIGHT('Special Help Table'!$A678,LEN('Special Help Table'!$A678)-FIND(", ",'Special Help Table'!$A678))&amp;" "&amp;LEFT('Special Help Table'!$A678,FIND(",",'Special Help Table'!$A678)-1),AND(LEN('Special Help Table'!$A678)-LEN(SUBSTITUTE('Special Help Table'!$A678,"editor",""))=6,LEN('Special Help Table'!$A678)-LEN(SUBSTITUTE('Special Help Table'!$A678,"(",""))=0,LEN('Special Help Table'!$A678)-LEN(SUBSTITUTE('Special Help Table'!$A678,"and",""))=3,LEN('Special Help Table'!$A678)-LEN(SUBSTITUTE('Special Help Table'!$A678,",",""))=1,LEN('Special Help Table'!$A678)-LEN(SUBSTITUTE('Special Help Table'!$A678," ",""))=3),'Special Help Table'!$A678)</f>
        <v xml:space="preserve"> R.C.  Sproul</v>
      </c>
      <c r="C678" s="4" t="s">
        <v>1262</v>
      </c>
      <c r="D678" s="2"/>
      <c r="E678" s="2" t="s">
        <v>16</v>
      </c>
      <c r="F678" s="2" t="s">
        <v>28</v>
      </c>
      <c r="G678" s="2"/>
      <c r="H678" s="2"/>
      <c r="I678" s="2"/>
      <c r="J678" s="2"/>
      <c r="K678" s="3">
        <v>40044</v>
      </c>
      <c r="L678" s="2"/>
      <c r="M678" s="2"/>
      <c r="N678" s="2" t="s">
        <v>18</v>
      </c>
    </row>
    <row r="679" spans="1:14" ht="15.75" customHeight="1" x14ac:dyDescent="0.35">
      <c r="A679" s="2" t="s">
        <v>1255</v>
      </c>
      <c r="B679" s="2" t="str" cm="1">
        <f t="array" ref="B679">_xlfn.IFS(AND(LEN('Special Help Table'!$A679)-(LEN(SUBSTITUTE('Special Help Table'!$A679,";","")))=0,LEN('Special Help Table'!$A679)-LEN(SUBSTITUTE('Special Help Table'!$A679,",",""))=1,LEN('Special Help Table'!$A679)-LEN(SUBSTITUTE('Special Help Table'!$A679,"and ",""))=0),MID('Special Help Table'!$A679&amp;" "&amp;'Special Help Table'!$A679,SEARCH(", ",'Special Help Table'!$A679)+1,LEN('Special Help Table'!$A679)),AND(LEN('Special Help Table'!$A679)-(LEN(SUBSTITUTE('Special Help Table'!$A679,";","")))=1,LEN('Special Help Table'!$A679)-LEN(SUBSTITUTE('Special Help Table'!$A679,"and ",""))=0),MID('Special Help Table'!$A679,SEARCH(",",'Special Help Table'!$A679)+1,(SEARCH(";",'Special Help Table'!$A679)-1)-SEARCH(",",'Special Help Table'!$A679))&amp;" "&amp;LEFT('Special Help Table'!$A679,SEARCH(",",'Special Help Table'!$A679)-1)&amp;";"&amp;RIGHT('Special Help Table'!$A679,LEN('Special Help Table'!$A679)-SEARCH(",",'Special Help Table'!$A679,SEARCH(";",'Special Help Table'!$A679)))&amp;" "&amp;MID('Special Help Table'!$A679,SEARCH("; ",'Special Help Table'!$A679)+2,SEARCH(",",'Special Help Table'!$A679,SEARCH(";",'Special Help Table'!$A679))-SEARCH(";",'Special Help Table'!$A679)-2),AND(LEN('Special Help Table'!$A679)-LEN(SUBSTITUTE('Special Help Table'!$A679,"and ",""))=0,LEN('Special Help Table'!$A679)-LEN(SUBSTITUTE('Special Help Table'!$A679,";",""))=0),'Special Help Table'!$A679,AND(LEN('Special Help Table'!$A679)-LEN(SUBSTITUTE('Special Help Table'!$A679,",","")=1),LEN('Special Help Table'!$A679)-LEN(SUBSTITUTE('Special Help Table'!$A679," ","")=20),LEN('Special Help Table'!$A679)-LEN(SUBSTITUTE('Special Help Table'!$A679," and",""))=0,LEN('Special Help Table'!$A679)-LEN(SUBSTITUTE('Special Help Table'!$A679,",","",FIND(" ",'Special Help Table'!$A679)+1))=0),RIGHT('Special Help Table'!$A679,LEN('Special Help Table'!$A679)-FIND(", ",'Special Help Table'!$A679))&amp;" "&amp;LEFT('Special Help Table'!$A679,FIND(",",'Special Help Table'!$A679)-1),AND(LEN('Special Help Table'!$A679)-LEN(SUBSTITUTE('Special Help Table'!$A679,"editor",""))=6,LEN('Special Help Table'!$A679)-LEN(SUBSTITUTE('Special Help Table'!$A679,"(",""))=0,LEN('Special Help Table'!$A679)-LEN(SUBSTITUTE('Special Help Table'!$A679,"and",""))=3,LEN('Special Help Table'!$A679)-LEN(SUBSTITUTE('Special Help Table'!$A679,",",""))=1,LEN('Special Help Table'!$A679)-LEN(SUBSTITUTE('Special Help Table'!$A679," ",""))=3),'Special Help Table'!$A679)</f>
        <v xml:space="preserve"> R.C.  Sproul</v>
      </c>
      <c r="C679" s="4" t="s">
        <v>1263</v>
      </c>
      <c r="D679" s="2"/>
      <c r="E679" s="2" t="s">
        <v>16</v>
      </c>
      <c r="F679" s="2" t="s">
        <v>17</v>
      </c>
      <c r="G679" s="2"/>
      <c r="H679" s="2"/>
      <c r="I679" s="2"/>
      <c r="J679" s="2"/>
      <c r="K679" s="3">
        <v>44044</v>
      </c>
      <c r="L679" s="2"/>
      <c r="M679" s="2"/>
      <c r="N679" s="2" t="s">
        <v>18</v>
      </c>
    </row>
    <row r="680" spans="1:14" ht="15.75" customHeight="1" x14ac:dyDescent="0.35">
      <c r="A680" s="2" t="s">
        <v>1255</v>
      </c>
      <c r="B680" s="2" t="str" cm="1">
        <f t="array" ref="B680">_xlfn.IFS(AND(LEN('Special Help Table'!$A680)-(LEN(SUBSTITUTE('Special Help Table'!$A680,";","")))=0,LEN('Special Help Table'!$A680)-LEN(SUBSTITUTE('Special Help Table'!$A680,",",""))=1,LEN('Special Help Table'!$A680)-LEN(SUBSTITUTE('Special Help Table'!$A680,"and ",""))=0),MID('Special Help Table'!$A680&amp;" "&amp;'Special Help Table'!$A680,SEARCH(", ",'Special Help Table'!$A680)+1,LEN('Special Help Table'!$A680)),AND(LEN('Special Help Table'!$A680)-(LEN(SUBSTITUTE('Special Help Table'!$A680,";","")))=1,LEN('Special Help Table'!$A680)-LEN(SUBSTITUTE('Special Help Table'!$A680,"and ",""))=0),MID('Special Help Table'!$A680,SEARCH(",",'Special Help Table'!$A680)+1,(SEARCH(";",'Special Help Table'!$A680)-1)-SEARCH(",",'Special Help Table'!$A680))&amp;" "&amp;LEFT('Special Help Table'!$A680,SEARCH(",",'Special Help Table'!$A680)-1)&amp;";"&amp;RIGHT('Special Help Table'!$A680,LEN('Special Help Table'!$A680)-SEARCH(",",'Special Help Table'!$A680,SEARCH(";",'Special Help Table'!$A680)))&amp;" "&amp;MID('Special Help Table'!$A680,SEARCH("; ",'Special Help Table'!$A680)+2,SEARCH(",",'Special Help Table'!$A680,SEARCH(";",'Special Help Table'!$A680))-SEARCH(";",'Special Help Table'!$A680)-2),AND(LEN('Special Help Table'!$A680)-LEN(SUBSTITUTE('Special Help Table'!$A680,"and ",""))=0,LEN('Special Help Table'!$A680)-LEN(SUBSTITUTE('Special Help Table'!$A680,";",""))=0),'Special Help Table'!$A680,AND(LEN('Special Help Table'!$A680)-LEN(SUBSTITUTE('Special Help Table'!$A680,",","")=1),LEN('Special Help Table'!$A680)-LEN(SUBSTITUTE('Special Help Table'!$A680," ","")=20),LEN('Special Help Table'!$A680)-LEN(SUBSTITUTE('Special Help Table'!$A680," and",""))=0,LEN('Special Help Table'!$A680)-LEN(SUBSTITUTE('Special Help Table'!$A680,",","",FIND(" ",'Special Help Table'!$A680)+1))=0),RIGHT('Special Help Table'!$A680,LEN('Special Help Table'!$A680)-FIND(", ",'Special Help Table'!$A680))&amp;" "&amp;LEFT('Special Help Table'!$A680,FIND(",",'Special Help Table'!$A680)-1),AND(LEN('Special Help Table'!$A680)-LEN(SUBSTITUTE('Special Help Table'!$A680,"editor",""))=6,LEN('Special Help Table'!$A680)-LEN(SUBSTITUTE('Special Help Table'!$A680,"(",""))=0,LEN('Special Help Table'!$A680)-LEN(SUBSTITUTE('Special Help Table'!$A680,"and",""))=3,LEN('Special Help Table'!$A680)-LEN(SUBSTITUTE('Special Help Table'!$A680,",",""))=1,LEN('Special Help Table'!$A680)-LEN(SUBSTITUTE('Special Help Table'!$A680," ",""))=3),'Special Help Table'!$A680)</f>
        <v xml:space="preserve"> R.C.  Sproul</v>
      </c>
      <c r="C680" s="4" t="s">
        <v>1264</v>
      </c>
      <c r="D680" s="2"/>
      <c r="E680" s="2" t="s">
        <v>16</v>
      </c>
      <c r="F680" s="2" t="s">
        <v>72</v>
      </c>
      <c r="G680" s="2"/>
      <c r="H680" s="2"/>
      <c r="I680" s="2"/>
      <c r="J680" s="2"/>
      <c r="K680" s="3">
        <v>40674</v>
      </c>
      <c r="L680" s="2"/>
      <c r="M680" s="2"/>
      <c r="N680" s="2" t="s">
        <v>18</v>
      </c>
    </row>
    <row r="681" spans="1:14" ht="15.75" customHeight="1" x14ac:dyDescent="0.35">
      <c r="A681" s="2" t="s">
        <v>1255</v>
      </c>
      <c r="B681" s="2" t="str" cm="1">
        <f t="array" ref="B681">_xlfn.IFS(AND(LEN('Special Help Table'!$A681)-(LEN(SUBSTITUTE('Special Help Table'!$A681,";","")))=0,LEN('Special Help Table'!$A681)-LEN(SUBSTITUTE('Special Help Table'!$A681,",",""))=1,LEN('Special Help Table'!$A681)-LEN(SUBSTITUTE('Special Help Table'!$A681,"and ",""))=0),MID('Special Help Table'!$A681&amp;" "&amp;'Special Help Table'!$A681,SEARCH(", ",'Special Help Table'!$A681)+1,LEN('Special Help Table'!$A681)),AND(LEN('Special Help Table'!$A681)-(LEN(SUBSTITUTE('Special Help Table'!$A681,";","")))=1,LEN('Special Help Table'!$A681)-LEN(SUBSTITUTE('Special Help Table'!$A681,"and ",""))=0),MID('Special Help Table'!$A681,SEARCH(",",'Special Help Table'!$A681)+1,(SEARCH(";",'Special Help Table'!$A681)-1)-SEARCH(",",'Special Help Table'!$A681))&amp;" "&amp;LEFT('Special Help Table'!$A681,SEARCH(",",'Special Help Table'!$A681)-1)&amp;";"&amp;RIGHT('Special Help Table'!$A681,LEN('Special Help Table'!$A681)-SEARCH(",",'Special Help Table'!$A681,SEARCH(";",'Special Help Table'!$A681)))&amp;" "&amp;MID('Special Help Table'!$A681,SEARCH("; ",'Special Help Table'!$A681)+2,SEARCH(",",'Special Help Table'!$A681,SEARCH(";",'Special Help Table'!$A681))-SEARCH(";",'Special Help Table'!$A681)-2),AND(LEN('Special Help Table'!$A681)-LEN(SUBSTITUTE('Special Help Table'!$A681,"and ",""))=0,LEN('Special Help Table'!$A681)-LEN(SUBSTITUTE('Special Help Table'!$A681,";",""))=0),'Special Help Table'!$A681,AND(LEN('Special Help Table'!$A681)-LEN(SUBSTITUTE('Special Help Table'!$A681,",","")=1),LEN('Special Help Table'!$A681)-LEN(SUBSTITUTE('Special Help Table'!$A681," ","")=20),LEN('Special Help Table'!$A681)-LEN(SUBSTITUTE('Special Help Table'!$A681," and",""))=0,LEN('Special Help Table'!$A681)-LEN(SUBSTITUTE('Special Help Table'!$A681,",","",FIND(" ",'Special Help Table'!$A681)+1))=0),RIGHT('Special Help Table'!$A681,LEN('Special Help Table'!$A681)-FIND(", ",'Special Help Table'!$A681))&amp;" "&amp;LEFT('Special Help Table'!$A681,FIND(",",'Special Help Table'!$A681)-1),AND(LEN('Special Help Table'!$A681)-LEN(SUBSTITUTE('Special Help Table'!$A681,"editor",""))=6,LEN('Special Help Table'!$A681)-LEN(SUBSTITUTE('Special Help Table'!$A681,"(",""))=0,LEN('Special Help Table'!$A681)-LEN(SUBSTITUTE('Special Help Table'!$A681,"and",""))=3,LEN('Special Help Table'!$A681)-LEN(SUBSTITUTE('Special Help Table'!$A681,",",""))=1,LEN('Special Help Table'!$A681)-LEN(SUBSTITUTE('Special Help Table'!$A681," ",""))=3),'Special Help Table'!$A681)</f>
        <v xml:space="preserve"> R.C.  Sproul</v>
      </c>
      <c r="C681" s="4" t="s">
        <v>1265</v>
      </c>
      <c r="D681" s="2"/>
      <c r="E681" s="2" t="s">
        <v>16</v>
      </c>
      <c r="F681" s="2" t="s">
        <v>72</v>
      </c>
      <c r="G681" s="2"/>
      <c r="H681" s="2"/>
      <c r="I681" s="2"/>
      <c r="J681" s="2"/>
      <c r="K681" s="3">
        <v>42659</v>
      </c>
      <c r="L681" s="2"/>
      <c r="M681" s="2"/>
      <c r="N681" s="2" t="s">
        <v>18</v>
      </c>
    </row>
    <row r="682" spans="1:14" ht="15.75" customHeight="1" x14ac:dyDescent="0.35">
      <c r="A682" s="2" t="s">
        <v>1255</v>
      </c>
      <c r="B682" s="2" t="str" cm="1">
        <f t="array" ref="B682">_xlfn.IFS(AND(LEN('Special Help Table'!$A682)-(LEN(SUBSTITUTE('Special Help Table'!$A682,";","")))=0,LEN('Special Help Table'!$A682)-LEN(SUBSTITUTE('Special Help Table'!$A682,",",""))=1,LEN('Special Help Table'!$A682)-LEN(SUBSTITUTE('Special Help Table'!$A682,"and ",""))=0),MID('Special Help Table'!$A682&amp;" "&amp;'Special Help Table'!$A682,SEARCH(", ",'Special Help Table'!$A682)+1,LEN('Special Help Table'!$A682)),AND(LEN('Special Help Table'!$A682)-(LEN(SUBSTITUTE('Special Help Table'!$A682,";","")))=1,LEN('Special Help Table'!$A682)-LEN(SUBSTITUTE('Special Help Table'!$A682,"and ",""))=0),MID('Special Help Table'!$A682,SEARCH(",",'Special Help Table'!$A682)+1,(SEARCH(";",'Special Help Table'!$A682)-1)-SEARCH(",",'Special Help Table'!$A682))&amp;" "&amp;LEFT('Special Help Table'!$A682,SEARCH(",",'Special Help Table'!$A682)-1)&amp;";"&amp;RIGHT('Special Help Table'!$A682,LEN('Special Help Table'!$A682)-SEARCH(",",'Special Help Table'!$A682,SEARCH(";",'Special Help Table'!$A682)))&amp;" "&amp;MID('Special Help Table'!$A682,SEARCH("; ",'Special Help Table'!$A682)+2,SEARCH(",",'Special Help Table'!$A682,SEARCH(";",'Special Help Table'!$A682))-SEARCH(";",'Special Help Table'!$A682)-2),AND(LEN('Special Help Table'!$A682)-LEN(SUBSTITUTE('Special Help Table'!$A682,"and ",""))=0,LEN('Special Help Table'!$A682)-LEN(SUBSTITUTE('Special Help Table'!$A682,";",""))=0),'Special Help Table'!$A682,AND(LEN('Special Help Table'!$A682)-LEN(SUBSTITUTE('Special Help Table'!$A682,",","")=1),LEN('Special Help Table'!$A682)-LEN(SUBSTITUTE('Special Help Table'!$A682," ","")=20),LEN('Special Help Table'!$A682)-LEN(SUBSTITUTE('Special Help Table'!$A682," and",""))=0,LEN('Special Help Table'!$A682)-LEN(SUBSTITUTE('Special Help Table'!$A682,",","",FIND(" ",'Special Help Table'!$A682)+1))=0),RIGHT('Special Help Table'!$A682,LEN('Special Help Table'!$A682)-FIND(", ",'Special Help Table'!$A682))&amp;" "&amp;LEFT('Special Help Table'!$A682,FIND(",",'Special Help Table'!$A682)-1),AND(LEN('Special Help Table'!$A682)-LEN(SUBSTITUTE('Special Help Table'!$A682,"editor",""))=6,LEN('Special Help Table'!$A682)-LEN(SUBSTITUTE('Special Help Table'!$A682,"(",""))=0,LEN('Special Help Table'!$A682)-LEN(SUBSTITUTE('Special Help Table'!$A682,"and",""))=3,LEN('Special Help Table'!$A682)-LEN(SUBSTITUTE('Special Help Table'!$A682,",",""))=1,LEN('Special Help Table'!$A682)-LEN(SUBSTITUTE('Special Help Table'!$A682," ",""))=3),'Special Help Table'!$A682)</f>
        <v xml:space="preserve"> R.C.  Sproul</v>
      </c>
      <c r="C682" s="4" t="s">
        <v>1266</v>
      </c>
      <c r="D682" s="2"/>
      <c r="E682" s="2" t="s">
        <v>16</v>
      </c>
      <c r="F682" s="2" t="s">
        <v>28</v>
      </c>
      <c r="G682" s="2"/>
      <c r="H682" s="2"/>
      <c r="I682" s="2"/>
      <c r="J682" s="2"/>
      <c r="K682" s="3">
        <v>43872</v>
      </c>
      <c r="L682" s="2"/>
      <c r="M682" s="2"/>
      <c r="N682" s="2" t="s">
        <v>18</v>
      </c>
    </row>
    <row r="683" spans="1:14" ht="15.75" customHeight="1" x14ac:dyDescent="0.35">
      <c r="A683" s="2" t="s">
        <v>1255</v>
      </c>
      <c r="B683" s="2" t="str" cm="1">
        <f t="array" ref="B683">_xlfn.IFS(AND(LEN('Special Help Table'!$A683)-(LEN(SUBSTITUTE('Special Help Table'!$A683,";","")))=0,LEN('Special Help Table'!$A683)-LEN(SUBSTITUTE('Special Help Table'!$A683,",",""))=1,LEN('Special Help Table'!$A683)-LEN(SUBSTITUTE('Special Help Table'!$A683,"and ",""))=0),MID('Special Help Table'!$A683&amp;" "&amp;'Special Help Table'!$A683,SEARCH(", ",'Special Help Table'!$A683)+1,LEN('Special Help Table'!$A683)),AND(LEN('Special Help Table'!$A683)-(LEN(SUBSTITUTE('Special Help Table'!$A683,";","")))=1,LEN('Special Help Table'!$A683)-LEN(SUBSTITUTE('Special Help Table'!$A683,"and ",""))=0),MID('Special Help Table'!$A683,SEARCH(",",'Special Help Table'!$A683)+1,(SEARCH(";",'Special Help Table'!$A683)-1)-SEARCH(",",'Special Help Table'!$A683))&amp;" "&amp;LEFT('Special Help Table'!$A683,SEARCH(",",'Special Help Table'!$A683)-1)&amp;";"&amp;RIGHT('Special Help Table'!$A683,LEN('Special Help Table'!$A683)-SEARCH(",",'Special Help Table'!$A683,SEARCH(";",'Special Help Table'!$A683)))&amp;" "&amp;MID('Special Help Table'!$A683,SEARCH("; ",'Special Help Table'!$A683)+2,SEARCH(",",'Special Help Table'!$A683,SEARCH(";",'Special Help Table'!$A683))-SEARCH(";",'Special Help Table'!$A683)-2),AND(LEN('Special Help Table'!$A683)-LEN(SUBSTITUTE('Special Help Table'!$A683,"and ",""))=0,LEN('Special Help Table'!$A683)-LEN(SUBSTITUTE('Special Help Table'!$A683,";",""))=0),'Special Help Table'!$A683,AND(LEN('Special Help Table'!$A683)-LEN(SUBSTITUTE('Special Help Table'!$A683,",","")=1),LEN('Special Help Table'!$A683)-LEN(SUBSTITUTE('Special Help Table'!$A683," ","")=20),LEN('Special Help Table'!$A683)-LEN(SUBSTITUTE('Special Help Table'!$A683," and",""))=0,LEN('Special Help Table'!$A683)-LEN(SUBSTITUTE('Special Help Table'!$A683,",","",FIND(" ",'Special Help Table'!$A683)+1))=0),RIGHT('Special Help Table'!$A683,LEN('Special Help Table'!$A683)-FIND(", ",'Special Help Table'!$A683))&amp;" "&amp;LEFT('Special Help Table'!$A683,FIND(",",'Special Help Table'!$A683)-1),AND(LEN('Special Help Table'!$A683)-LEN(SUBSTITUTE('Special Help Table'!$A683,"editor",""))=6,LEN('Special Help Table'!$A683)-LEN(SUBSTITUTE('Special Help Table'!$A683,"(",""))=0,LEN('Special Help Table'!$A683)-LEN(SUBSTITUTE('Special Help Table'!$A683,"and",""))=3,LEN('Special Help Table'!$A683)-LEN(SUBSTITUTE('Special Help Table'!$A683,",",""))=1,LEN('Special Help Table'!$A683)-LEN(SUBSTITUTE('Special Help Table'!$A683," ",""))=3),'Special Help Table'!$A683)</f>
        <v xml:space="preserve"> R.C.  Sproul</v>
      </c>
      <c r="C683" s="4" t="s">
        <v>1267</v>
      </c>
      <c r="D683" s="2"/>
      <c r="E683" s="2" t="s">
        <v>16</v>
      </c>
      <c r="F683" s="2" t="s">
        <v>28</v>
      </c>
      <c r="G683" s="2"/>
      <c r="H683" s="2"/>
      <c r="I683" s="2"/>
      <c r="J683" s="2" t="s">
        <v>1042</v>
      </c>
      <c r="K683" s="3">
        <v>40247</v>
      </c>
      <c r="L683" s="2"/>
      <c r="M683" s="2"/>
      <c r="N683" s="2" t="s">
        <v>18</v>
      </c>
    </row>
    <row r="684" spans="1:14" ht="15.75" customHeight="1" x14ac:dyDescent="0.35">
      <c r="A684" s="2" t="s">
        <v>1255</v>
      </c>
      <c r="B684" s="2" t="str" cm="1">
        <f t="array" ref="B684">_xlfn.IFS(AND(LEN('Special Help Table'!$A684)-(LEN(SUBSTITUTE('Special Help Table'!$A684,";","")))=0,LEN('Special Help Table'!$A684)-LEN(SUBSTITUTE('Special Help Table'!$A684,",",""))=1,LEN('Special Help Table'!$A684)-LEN(SUBSTITUTE('Special Help Table'!$A684,"and ",""))=0),MID('Special Help Table'!$A684&amp;" "&amp;'Special Help Table'!$A684,SEARCH(", ",'Special Help Table'!$A684)+1,LEN('Special Help Table'!$A684)),AND(LEN('Special Help Table'!$A684)-(LEN(SUBSTITUTE('Special Help Table'!$A684,";","")))=1,LEN('Special Help Table'!$A684)-LEN(SUBSTITUTE('Special Help Table'!$A684,"and ",""))=0),MID('Special Help Table'!$A684,SEARCH(",",'Special Help Table'!$A684)+1,(SEARCH(";",'Special Help Table'!$A684)-1)-SEARCH(",",'Special Help Table'!$A684))&amp;" "&amp;LEFT('Special Help Table'!$A684,SEARCH(",",'Special Help Table'!$A684)-1)&amp;";"&amp;RIGHT('Special Help Table'!$A684,LEN('Special Help Table'!$A684)-SEARCH(",",'Special Help Table'!$A684,SEARCH(";",'Special Help Table'!$A684)))&amp;" "&amp;MID('Special Help Table'!$A684,SEARCH("; ",'Special Help Table'!$A684)+2,SEARCH(",",'Special Help Table'!$A684,SEARCH(";",'Special Help Table'!$A684))-SEARCH(";",'Special Help Table'!$A684)-2),AND(LEN('Special Help Table'!$A684)-LEN(SUBSTITUTE('Special Help Table'!$A684,"and ",""))=0,LEN('Special Help Table'!$A684)-LEN(SUBSTITUTE('Special Help Table'!$A684,";",""))=0),'Special Help Table'!$A684,AND(LEN('Special Help Table'!$A684)-LEN(SUBSTITUTE('Special Help Table'!$A684,",","")=1),LEN('Special Help Table'!$A684)-LEN(SUBSTITUTE('Special Help Table'!$A684," ","")=20),LEN('Special Help Table'!$A684)-LEN(SUBSTITUTE('Special Help Table'!$A684," and",""))=0,LEN('Special Help Table'!$A684)-LEN(SUBSTITUTE('Special Help Table'!$A684,",","",FIND(" ",'Special Help Table'!$A684)+1))=0),RIGHT('Special Help Table'!$A684,LEN('Special Help Table'!$A684)-FIND(", ",'Special Help Table'!$A684))&amp;" "&amp;LEFT('Special Help Table'!$A684,FIND(",",'Special Help Table'!$A684)-1),AND(LEN('Special Help Table'!$A684)-LEN(SUBSTITUTE('Special Help Table'!$A684,"editor",""))=6,LEN('Special Help Table'!$A684)-LEN(SUBSTITUTE('Special Help Table'!$A684,"(",""))=0,LEN('Special Help Table'!$A684)-LEN(SUBSTITUTE('Special Help Table'!$A684,"and",""))=3,LEN('Special Help Table'!$A684)-LEN(SUBSTITUTE('Special Help Table'!$A684,",",""))=1,LEN('Special Help Table'!$A684)-LEN(SUBSTITUTE('Special Help Table'!$A684," ",""))=3),'Special Help Table'!$A684)</f>
        <v xml:space="preserve"> R.C.  Sproul</v>
      </c>
      <c r="C684" s="4" t="s">
        <v>1268</v>
      </c>
      <c r="D684" s="2"/>
      <c r="E684" s="2" t="s">
        <v>16</v>
      </c>
      <c r="F684" s="2" t="s">
        <v>28</v>
      </c>
      <c r="G684" s="2"/>
      <c r="H684" s="2"/>
      <c r="I684" s="2"/>
      <c r="J684" s="2"/>
      <c r="K684" s="3">
        <v>42677</v>
      </c>
      <c r="L684" s="2"/>
      <c r="M684" s="2"/>
      <c r="N684" s="2" t="s">
        <v>18</v>
      </c>
    </row>
    <row r="685" spans="1:14" ht="15.75" customHeight="1" x14ac:dyDescent="0.35">
      <c r="A685" s="2" t="s">
        <v>1255</v>
      </c>
      <c r="B685" s="2" t="str" cm="1">
        <f t="array" ref="B685">_xlfn.IFS(AND(LEN('Special Help Table'!$A685)-(LEN(SUBSTITUTE('Special Help Table'!$A685,";","")))=0,LEN('Special Help Table'!$A685)-LEN(SUBSTITUTE('Special Help Table'!$A685,",",""))=1,LEN('Special Help Table'!$A685)-LEN(SUBSTITUTE('Special Help Table'!$A685,"and ",""))=0),MID('Special Help Table'!$A685&amp;" "&amp;'Special Help Table'!$A685,SEARCH(", ",'Special Help Table'!$A685)+1,LEN('Special Help Table'!$A685)),AND(LEN('Special Help Table'!$A685)-(LEN(SUBSTITUTE('Special Help Table'!$A685,";","")))=1,LEN('Special Help Table'!$A685)-LEN(SUBSTITUTE('Special Help Table'!$A685,"and ",""))=0),MID('Special Help Table'!$A685,SEARCH(",",'Special Help Table'!$A685)+1,(SEARCH(";",'Special Help Table'!$A685)-1)-SEARCH(",",'Special Help Table'!$A685))&amp;" "&amp;LEFT('Special Help Table'!$A685,SEARCH(",",'Special Help Table'!$A685)-1)&amp;";"&amp;RIGHT('Special Help Table'!$A685,LEN('Special Help Table'!$A685)-SEARCH(",",'Special Help Table'!$A685,SEARCH(";",'Special Help Table'!$A685)))&amp;" "&amp;MID('Special Help Table'!$A685,SEARCH("; ",'Special Help Table'!$A685)+2,SEARCH(",",'Special Help Table'!$A685,SEARCH(";",'Special Help Table'!$A685))-SEARCH(";",'Special Help Table'!$A685)-2),AND(LEN('Special Help Table'!$A685)-LEN(SUBSTITUTE('Special Help Table'!$A685,"and ",""))=0,LEN('Special Help Table'!$A685)-LEN(SUBSTITUTE('Special Help Table'!$A685,";",""))=0),'Special Help Table'!$A685,AND(LEN('Special Help Table'!$A685)-LEN(SUBSTITUTE('Special Help Table'!$A685,",","")=1),LEN('Special Help Table'!$A685)-LEN(SUBSTITUTE('Special Help Table'!$A685," ","")=20),LEN('Special Help Table'!$A685)-LEN(SUBSTITUTE('Special Help Table'!$A685," and",""))=0,LEN('Special Help Table'!$A685)-LEN(SUBSTITUTE('Special Help Table'!$A685,",","",FIND(" ",'Special Help Table'!$A685)+1))=0),RIGHT('Special Help Table'!$A685,LEN('Special Help Table'!$A685)-FIND(", ",'Special Help Table'!$A685))&amp;" "&amp;LEFT('Special Help Table'!$A685,FIND(",",'Special Help Table'!$A685)-1),AND(LEN('Special Help Table'!$A685)-LEN(SUBSTITUTE('Special Help Table'!$A685,"editor",""))=6,LEN('Special Help Table'!$A685)-LEN(SUBSTITUTE('Special Help Table'!$A685,"(",""))=0,LEN('Special Help Table'!$A685)-LEN(SUBSTITUTE('Special Help Table'!$A685,"and",""))=3,LEN('Special Help Table'!$A685)-LEN(SUBSTITUTE('Special Help Table'!$A685,",",""))=1,LEN('Special Help Table'!$A685)-LEN(SUBSTITUTE('Special Help Table'!$A685," ",""))=3),'Special Help Table'!$A685)</f>
        <v xml:space="preserve"> R.C.  Sproul</v>
      </c>
      <c r="C685" s="4" t="s">
        <v>1269</v>
      </c>
      <c r="D685" s="2"/>
      <c r="E685" s="2" t="s">
        <v>16</v>
      </c>
      <c r="F685" s="2" t="s">
        <v>72</v>
      </c>
      <c r="G685" s="2"/>
      <c r="H685" s="2"/>
      <c r="I685" s="2"/>
      <c r="J685" s="2"/>
      <c r="K685" s="3">
        <v>43023</v>
      </c>
      <c r="L685" s="2"/>
      <c r="M685" s="2"/>
      <c r="N685" s="2" t="s">
        <v>18</v>
      </c>
    </row>
    <row r="686" spans="1:14" ht="15.75" customHeight="1" x14ac:dyDescent="0.35">
      <c r="A686" s="2" t="s">
        <v>1255</v>
      </c>
      <c r="B686" s="2" t="str" cm="1">
        <f t="array" ref="B686">_xlfn.IFS(AND(LEN('Special Help Table'!$A686)-(LEN(SUBSTITUTE('Special Help Table'!$A686,";","")))=0,LEN('Special Help Table'!$A686)-LEN(SUBSTITUTE('Special Help Table'!$A686,",",""))=1,LEN('Special Help Table'!$A686)-LEN(SUBSTITUTE('Special Help Table'!$A686,"and ",""))=0),MID('Special Help Table'!$A686&amp;" "&amp;'Special Help Table'!$A686,SEARCH(", ",'Special Help Table'!$A686)+1,LEN('Special Help Table'!$A686)),AND(LEN('Special Help Table'!$A686)-(LEN(SUBSTITUTE('Special Help Table'!$A686,";","")))=1,LEN('Special Help Table'!$A686)-LEN(SUBSTITUTE('Special Help Table'!$A686,"and ",""))=0),MID('Special Help Table'!$A686,SEARCH(",",'Special Help Table'!$A686)+1,(SEARCH(";",'Special Help Table'!$A686)-1)-SEARCH(",",'Special Help Table'!$A686))&amp;" "&amp;LEFT('Special Help Table'!$A686,SEARCH(",",'Special Help Table'!$A686)-1)&amp;";"&amp;RIGHT('Special Help Table'!$A686,LEN('Special Help Table'!$A686)-SEARCH(",",'Special Help Table'!$A686,SEARCH(";",'Special Help Table'!$A686)))&amp;" "&amp;MID('Special Help Table'!$A686,SEARCH("; ",'Special Help Table'!$A686)+2,SEARCH(",",'Special Help Table'!$A686,SEARCH(";",'Special Help Table'!$A686))-SEARCH(";",'Special Help Table'!$A686)-2),AND(LEN('Special Help Table'!$A686)-LEN(SUBSTITUTE('Special Help Table'!$A686,"and ",""))=0,LEN('Special Help Table'!$A686)-LEN(SUBSTITUTE('Special Help Table'!$A686,";",""))=0),'Special Help Table'!$A686,AND(LEN('Special Help Table'!$A686)-LEN(SUBSTITUTE('Special Help Table'!$A686,",","")=1),LEN('Special Help Table'!$A686)-LEN(SUBSTITUTE('Special Help Table'!$A686," ","")=20),LEN('Special Help Table'!$A686)-LEN(SUBSTITUTE('Special Help Table'!$A686," and",""))=0,LEN('Special Help Table'!$A686)-LEN(SUBSTITUTE('Special Help Table'!$A686,",","",FIND(" ",'Special Help Table'!$A686)+1))=0),RIGHT('Special Help Table'!$A686,LEN('Special Help Table'!$A686)-FIND(", ",'Special Help Table'!$A686))&amp;" "&amp;LEFT('Special Help Table'!$A686,FIND(",",'Special Help Table'!$A686)-1),AND(LEN('Special Help Table'!$A686)-LEN(SUBSTITUTE('Special Help Table'!$A686,"editor",""))=6,LEN('Special Help Table'!$A686)-LEN(SUBSTITUTE('Special Help Table'!$A686,"(",""))=0,LEN('Special Help Table'!$A686)-LEN(SUBSTITUTE('Special Help Table'!$A686,"and",""))=3,LEN('Special Help Table'!$A686)-LEN(SUBSTITUTE('Special Help Table'!$A686,",",""))=1,LEN('Special Help Table'!$A686)-LEN(SUBSTITUTE('Special Help Table'!$A686," ",""))=3),'Special Help Table'!$A686)</f>
        <v xml:space="preserve"> R.C.  Sproul</v>
      </c>
      <c r="C686" s="4" t="s">
        <v>1270</v>
      </c>
      <c r="D686" s="2"/>
      <c r="E686" s="2" t="s">
        <v>16</v>
      </c>
      <c r="F686" s="2" t="s">
        <v>72</v>
      </c>
      <c r="G686" s="2"/>
      <c r="H686" s="2"/>
      <c r="I686" s="2"/>
      <c r="J686" s="2"/>
      <c r="K686" s="3">
        <v>40674</v>
      </c>
      <c r="L686" s="2"/>
      <c r="M686" s="2"/>
      <c r="N686" s="2" t="s">
        <v>18</v>
      </c>
    </row>
    <row r="687" spans="1:14" ht="15.75" customHeight="1" x14ac:dyDescent="0.35">
      <c r="A687" s="2" t="s">
        <v>1255</v>
      </c>
      <c r="B687" s="2" t="str" cm="1">
        <f t="array" ref="B687">_xlfn.IFS(AND(LEN('Special Help Table'!$A687)-(LEN(SUBSTITUTE('Special Help Table'!$A687,";","")))=0,LEN('Special Help Table'!$A687)-LEN(SUBSTITUTE('Special Help Table'!$A687,",",""))=1,LEN('Special Help Table'!$A687)-LEN(SUBSTITUTE('Special Help Table'!$A687,"and ",""))=0),MID('Special Help Table'!$A687&amp;" "&amp;'Special Help Table'!$A687,SEARCH(", ",'Special Help Table'!$A687)+1,LEN('Special Help Table'!$A687)),AND(LEN('Special Help Table'!$A687)-(LEN(SUBSTITUTE('Special Help Table'!$A687,";","")))=1,LEN('Special Help Table'!$A687)-LEN(SUBSTITUTE('Special Help Table'!$A687,"and ",""))=0),MID('Special Help Table'!$A687,SEARCH(",",'Special Help Table'!$A687)+1,(SEARCH(";",'Special Help Table'!$A687)-1)-SEARCH(",",'Special Help Table'!$A687))&amp;" "&amp;LEFT('Special Help Table'!$A687,SEARCH(",",'Special Help Table'!$A687)-1)&amp;";"&amp;RIGHT('Special Help Table'!$A687,LEN('Special Help Table'!$A687)-SEARCH(",",'Special Help Table'!$A687,SEARCH(";",'Special Help Table'!$A687)))&amp;" "&amp;MID('Special Help Table'!$A687,SEARCH("; ",'Special Help Table'!$A687)+2,SEARCH(",",'Special Help Table'!$A687,SEARCH(";",'Special Help Table'!$A687))-SEARCH(";",'Special Help Table'!$A687)-2),AND(LEN('Special Help Table'!$A687)-LEN(SUBSTITUTE('Special Help Table'!$A687,"and ",""))=0,LEN('Special Help Table'!$A687)-LEN(SUBSTITUTE('Special Help Table'!$A687,";",""))=0),'Special Help Table'!$A687,AND(LEN('Special Help Table'!$A687)-LEN(SUBSTITUTE('Special Help Table'!$A687,",","")=1),LEN('Special Help Table'!$A687)-LEN(SUBSTITUTE('Special Help Table'!$A687," ","")=20),LEN('Special Help Table'!$A687)-LEN(SUBSTITUTE('Special Help Table'!$A687," and",""))=0,LEN('Special Help Table'!$A687)-LEN(SUBSTITUTE('Special Help Table'!$A687,",","",FIND(" ",'Special Help Table'!$A687)+1))=0),RIGHT('Special Help Table'!$A687,LEN('Special Help Table'!$A687)-FIND(", ",'Special Help Table'!$A687))&amp;" "&amp;LEFT('Special Help Table'!$A687,FIND(",",'Special Help Table'!$A687)-1),AND(LEN('Special Help Table'!$A687)-LEN(SUBSTITUTE('Special Help Table'!$A687,"editor",""))=6,LEN('Special Help Table'!$A687)-LEN(SUBSTITUTE('Special Help Table'!$A687,"(",""))=0,LEN('Special Help Table'!$A687)-LEN(SUBSTITUTE('Special Help Table'!$A687,"and",""))=3,LEN('Special Help Table'!$A687)-LEN(SUBSTITUTE('Special Help Table'!$A687,",",""))=1,LEN('Special Help Table'!$A687)-LEN(SUBSTITUTE('Special Help Table'!$A687," ",""))=3),'Special Help Table'!$A687)</f>
        <v xml:space="preserve"> R.C.  Sproul</v>
      </c>
      <c r="C687" s="4" t="s">
        <v>1271</v>
      </c>
      <c r="D687" s="2"/>
      <c r="E687" s="2" t="s">
        <v>16</v>
      </c>
      <c r="F687" s="2" t="s">
        <v>36</v>
      </c>
      <c r="G687" s="2"/>
      <c r="H687" s="2"/>
      <c r="I687" s="2"/>
      <c r="J687" s="2"/>
      <c r="K687" s="3">
        <v>42705</v>
      </c>
      <c r="L687" s="2" t="s">
        <v>331</v>
      </c>
      <c r="M687" s="2"/>
      <c r="N687" s="2" t="s">
        <v>18</v>
      </c>
    </row>
    <row r="688" spans="1:14" ht="15.75" customHeight="1" x14ac:dyDescent="0.35">
      <c r="A688" s="2" t="s">
        <v>1255</v>
      </c>
      <c r="B688" s="2" t="str" cm="1">
        <f t="array" ref="B688">_xlfn.IFS(AND(LEN('Special Help Table'!$A688)-(LEN(SUBSTITUTE('Special Help Table'!$A688,";","")))=0,LEN('Special Help Table'!$A688)-LEN(SUBSTITUTE('Special Help Table'!$A688,",",""))=1,LEN('Special Help Table'!$A688)-LEN(SUBSTITUTE('Special Help Table'!$A688,"and ",""))=0),MID('Special Help Table'!$A688&amp;" "&amp;'Special Help Table'!$A688,SEARCH(", ",'Special Help Table'!$A688)+1,LEN('Special Help Table'!$A688)),AND(LEN('Special Help Table'!$A688)-(LEN(SUBSTITUTE('Special Help Table'!$A688,";","")))=1,LEN('Special Help Table'!$A688)-LEN(SUBSTITUTE('Special Help Table'!$A688,"and ",""))=0),MID('Special Help Table'!$A688,SEARCH(",",'Special Help Table'!$A688)+1,(SEARCH(";",'Special Help Table'!$A688)-1)-SEARCH(",",'Special Help Table'!$A688))&amp;" "&amp;LEFT('Special Help Table'!$A688,SEARCH(",",'Special Help Table'!$A688)-1)&amp;";"&amp;RIGHT('Special Help Table'!$A688,LEN('Special Help Table'!$A688)-SEARCH(",",'Special Help Table'!$A688,SEARCH(";",'Special Help Table'!$A688)))&amp;" "&amp;MID('Special Help Table'!$A688,SEARCH("; ",'Special Help Table'!$A688)+2,SEARCH(",",'Special Help Table'!$A688,SEARCH(";",'Special Help Table'!$A688))-SEARCH(";",'Special Help Table'!$A688)-2),AND(LEN('Special Help Table'!$A688)-LEN(SUBSTITUTE('Special Help Table'!$A688,"and ",""))=0,LEN('Special Help Table'!$A688)-LEN(SUBSTITUTE('Special Help Table'!$A688,";",""))=0),'Special Help Table'!$A688,AND(LEN('Special Help Table'!$A688)-LEN(SUBSTITUTE('Special Help Table'!$A688,",","")=1),LEN('Special Help Table'!$A688)-LEN(SUBSTITUTE('Special Help Table'!$A688," ","")=20),LEN('Special Help Table'!$A688)-LEN(SUBSTITUTE('Special Help Table'!$A688," and",""))=0,LEN('Special Help Table'!$A688)-LEN(SUBSTITUTE('Special Help Table'!$A688,",","",FIND(" ",'Special Help Table'!$A688)+1))=0),RIGHT('Special Help Table'!$A688,LEN('Special Help Table'!$A688)-FIND(", ",'Special Help Table'!$A688))&amp;" "&amp;LEFT('Special Help Table'!$A688,FIND(",",'Special Help Table'!$A688)-1),AND(LEN('Special Help Table'!$A688)-LEN(SUBSTITUTE('Special Help Table'!$A688,"editor",""))=6,LEN('Special Help Table'!$A688)-LEN(SUBSTITUTE('Special Help Table'!$A688,"(",""))=0,LEN('Special Help Table'!$A688)-LEN(SUBSTITUTE('Special Help Table'!$A688,"and",""))=3,LEN('Special Help Table'!$A688)-LEN(SUBSTITUTE('Special Help Table'!$A688,",",""))=1,LEN('Special Help Table'!$A688)-LEN(SUBSTITUTE('Special Help Table'!$A688," ",""))=3),'Special Help Table'!$A688)</f>
        <v xml:space="preserve"> R.C.  Sproul</v>
      </c>
      <c r="C688" s="4" t="s">
        <v>1272</v>
      </c>
      <c r="D688" s="2"/>
      <c r="E688" s="2" t="s">
        <v>16</v>
      </c>
      <c r="F688" s="2" t="s">
        <v>17</v>
      </c>
      <c r="G688" s="2"/>
      <c r="H688" s="2"/>
      <c r="I688" s="2"/>
      <c r="J688" s="2" t="s">
        <v>188</v>
      </c>
      <c r="K688" s="3">
        <v>41865</v>
      </c>
      <c r="L688" s="2"/>
      <c r="M688" s="2"/>
      <c r="N688" s="2" t="s">
        <v>18</v>
      </c>
    </row>
    <row r="689" spans="1:14" ht="15.75" customHeight="1" x14ac:dyDescent="0.35">
      <c r="A689" s="2" t="s">
        <v>1255</v>
      </c>
      <c r="B689" s="2" t="str" cm="1">
        <f t="array" ref="B689">_xlfn.IFS(AND(LEN('Special Help Table'!$A689)-(LEN(SUBSTITUTE('Special Help Table'!$A689,";","")))=0,LEN('Special Help Table'!$A689)-LEN(SUBSTITUTE('Special Help Table'!$A689,",",""))=1,LEN('Special Help Table'!$A689)-LEN(SUBSTITUTE('Special Help Table'!$A689,"and ",""))=0),MID('Special Help Table'!$A689&amp;" "&amp;'Special Help Table'!$A689,SEARCH(", ",'Special Help Table'!$A689)+1,LEN('Special Help Table'!$A689)),AND(LEN('Special Help Table'!$A689)-(LEN(SUBSTITUTE('Special Help Table'!$A689,";","")))=1,LEN('Special Help Table'!$A689)-LEN(SUBSTITUTE('Special Help Table'!$A689,"and ",""))=0),MID('Special Help Table'!$A689,SEARCH(",",'Special Help Table'!$A689)+1,(SEARCH(";",'Special Help Table'!$A689)-1)-SEARCH(",",'Special Help Table'!$A689))&amp;" "&amp;LEFT('Special Help Table'!$A689,SEARCH(",",'Special Help Table'!$A689)-1)&amp;";"&amp;RIGHT('Special Help Table'!$A689,LEN('Special Help Table'!$A689)-SEARCH(",",'Special Help Table'!$A689,SEARCH(";",'Special Help Table'!$A689)))&amp;" "&amp;MID('Special Help Table'!$A689,SEARCH("; ",'Special Help Table'!$A689)+2,SEARCH(",",'Special Help Table'!$A689,SEARCH(";",'Special Help Table'!$A689))-SEARCH(";",'Special Help Table'!$A689)-2),AND(LEN('Special Help Table'!$A689)-LEN(SUBSTITUTE('Special Help Table'!$A689,"and ",""))=0,LEN('Special Help Table'!$A689)-LEN(SUBSTITUTE('Special Help Table'!$A689,";",""))=0),'Special Help Table'!$A689,AND(LEN('Special Help Table'!$A689)-LEN(SUBSTITUTE('Special Help Table'!$A689,",","")=1),LEN('Special Help Table'!$A689)-LEN(SUBSTITUTE('Special Help Table'!$A689," ","")=20),LEN('Special Help Table'!$A689)-LEN(SUBSTITUTE('Special Help Table'!$A689," and",""))=0,LEN('Special Help Table'!$A689)-LEN(SUBSTITUTE('Special Help Table'!$A689,",","",FIND(" ",'Special Help Table'!$A689)+1))=0),RIGHT('Special Help Table'!$A689,LEN('Special Help Table'!$A689)-FIND(", ",'Special Help Table'!$A689))&amp;" "&amp;LEFT('Special Help Table'!$A689,FIND(",",'Special Help Table'!$A689)-1),AND(LEN('Special Help Table'!$A689)-LEN(SUBSTITUTE('Special Help Table'!$A689,"editor",""))=6,LEN('Special Help Table'!$A689)-LEN(SUBSTITUTE('Special Help Table'!$A689,"(",""))=0,LEN('Special Help Table'!$A689)-LEN(SUBSTITUTE('Special Help Table'!$A689,"and",""))=3,LEN('Special Help Table'!$A689)-LEN(SUBSTITUTE('Special Help Table'!$A689,",",""))=1,LEN('Special Help Table'!$A689)-LEN(SUBSTITUTE('Special Help Table'!$A689," ",""))=3),'Special Help Table'!$A689)</f>
        <v xml:space="preserve"> R.C.  Sproul</v>
      </c>
      <c r="C689" s="4" t="s">
        <v>1273</v>
      </c>
      <c r="D689" s="2"/>
      <c r="E689" s="2" t="s">
        <v>16</v>
      </c>
      <c r="F689" s="2" t="s">
        <v>28</v>
      </c>
      <c r="G689" s="2"/>
      <c r="H689" s="2"/>
      <c r="I689" s="2"/>
      <c r="J689" s="2" t="s">
        <v>193</v>
      </c>
      <c r="K689" s="3">
        <v>42705</v>
      </c>
      <c r="L689" s="2"/>
      <c r="M689" s="2"/>
      <c r="N689" s="2" t="s">
        <v>18</v>
      </c>
    </row>
    <row r="690" spans="1:14" ht="15.75" customHeight="1" x14ac:dyDescent="0.35">
      <c r="A690" s="2" t="s">
        <v>1274</v>
      </c>
      <c r="B690" s="2" t="str" cm="1">
        <f t="array" ref="B690">_xlfn.IFS(AND(LEN('Special Help Table'!$A690)-(LEN(SUBSTITUTE('Special Help Table'!$A690,";","")))=0,LEN('Special Help Table'!$A690)-LEN(SUBSTITUTE('Special Help Table'!$A690,",",""))=1,LEN('Special Help Table'!$A690)-LEN(SUBSTITUTE('Special Help Table'!$A690,"and ",""))=0),MID('Special Help Table'!$A690&amp;" "&amp;'Special Help Table'!$A690,SEARCH(", ",'Special Help Table'!$A690)+1,LEN('Special Help Table'!$A690)),AND(LEN('Special Help Table'!$A690)-(LEN(SUBSTITUTE('Special Help Table'!$A690,";","")))=1,LEN('Special Help Table'!$A690)-LEN(SUBSTITUTE('Special Help Table'!$A690,"and ",""))=0),MID('Special Help Table'!$A690,SEARCH(",",'Special Help Table'!$A690)+1,(SEARCH(";",'Special Help Table'!$A690)-1)-SEARCH(",",'Special Help Table'!$A690))&amp;" "&amp;LEFT('Special Help Table'!$A690,SEARCH(",",'Special Help Table'!$A690)-1)&amp;";"&amp;RIGHT('Special Help Table'!$A690,LEN('Special Help Table'!$A690)-SEARCH(",",'Special Help Table'!$A690,SEARCH(";",'Special Help Table'!$A690)))&amp;" "&amp;MID('Special Help Table'!$A690,SEARCH("; ",'Special Help Table'!$A690)+2,SEARCH(",",'Special Help Table'!$A690,SEARCH(";",'Special Help Table'!$A690))-SEARCH(";",'Special Help Table'!$A690)-2),AND(LEN('Special Help Table'!$A690)-LEN(SUBSTITUTE('Special Help Table'!$A690,"and ",""))=0,LEN('Special Help Table'!$A690)-LEN(SUBSTITUTE('Special Help Table'!$A690,";",""))=0),'Special Help Table'!$A690,AND(LEN('Special Help Table'!$A690)-LEN(SUBSTITUTE('Special Help Table'!$A690,",","")=1),LEN('Special Help Table'!$A690)-LEN(SUBSTITUTE('Special Help Table'!$A690," ","")=20),LEN('Special Help Table'!$A690)-LEN(SUBSTITUTE('Special Help Table'!$A690," and",""))=0,LEN('Special Help Table'!$A690)-LEN(SUBSTITUTE('Special Help Table'!$A690,",","",FIND(" ",'Special Help Table'!$A690)+1))=0),RIGHT('Special Help Table'!$A690,LEN('Special Help Table'!$A690)-FIND(", ",'Special Help Table'!$A690))&amp;" "&amp;LEFT('Special Help Table'!$A690,FIND(",",'Special Help Table'!$A690)-1),AND(LEN('Special Help Table'!$A690)-LEN(SUBSTITUTE('Special Help Table'!$A690,"editor",""))=6,LEN('Special Help Table'!$A690)-LEN(SUBSTITUTE('Special Help Table'!$A690,"(",""))=0,LEN('Special Help Table'!$A690)-LEN(SUBSTITUTE('Special Help Table'!$A690,"and",""))=3,LEN('Special Help Table'!$A690)-LEN(SUBSTITUTE('Special Help Table'!$A690,",",""))=1,LEN('Special Help Table'!$A690)-LEN(SUBSTITUTE('Special Help Table'!$A690," ",""))=3),'Special Help Table'!$A690)</f>
        <v xml:space="preserve"> Robert H. Stein</v>
      </c>
      <c r="C690" s="4" t="s">
        <v>1275</v>
      </c>
      <c r="D690" s="2"/>
      <c r="E690" s="2" t="s">
        <v>16</v>
      </c>
      <c r="F690" s="2" t="s">
        <v>92</v>
      </c>
      <c r="G690" s="2"/>
      <c r="H690" s="2"/>
      <c r="I690" s="2"/>
      <c r="J690" s="2"/>
      <c r="K690" s="3">
        <v>42511</v>
      </c>
      <c r="L690" s="2"/>
      <c r="M690" s="2"/>
      <c r="N690" s="2" t="s">
        <v>18</v>
      </c>
    </row>
    <row r="691" spans="1:14" ht="15.75" customHeight="1" x14ac:dyDescent="0.35">
      <c r="A691" s="2" t="s">
        <v>1276</v>
      </c>
      <c r="B691" s="2" t="str" cm="1">
        <f t="array" ref="B691">_xlfn.IFS(AND(LEN('Special Help Table'!$A691)-(LEN(SUBSTITUTE('Special Help Table'!$A691,";","")))=0,LEN('Special Help Table'!$A691)-LEN(SUBSTITUTE('Special Help Table'!$A691,",",""))=1,LEN('Special Help Table'!$A691)-LEN(SUBSTITUTE('Special Help Table'!$A691,"and ",""))=0),MID('Special Help Table'!$A691&amp;" "&amp;'Special Help Table'!$A691,SEARCH(", ",'Special Help Table'!$A691)+1,LEN('Special Help Table'!$A691)),AND(LEN('Special Help Table'!$A691)-(LEN(SUBSTITUTE('Special Help Table'!$A691,";","")))=1,LEN('Special Help Table'!$A691)-LEN(SUBSTITUTE('Special Help Table'!$A691,"and ",""))=0),MID('Special Help Table'!$A691,SEARCH(",",'Special Help Table'!$A691)+1,(SEARCH(";",'Special Help Table'!$A691)-1)-SEARCH(",",'Special Help Table'!$A691))&amp;" "&amp;LEFT('Special Help Table'!$A691,SEARCH(",",'Special Help Table'!$A691)-1)&amp;";"&amp;RIGHT('Special Help Table'!$A691,LEN('Special Help Table'!$A691)-SEARCH(",",'Special Help Table'!$A691,SEARCH(";",'Special Help Table'!$A691)))&amp;" "&amp;MID('Special Help Table'!$A691,SEARCH("; ",'Special Help Table'!$A691)+2,SEARCH(",",'Special Help Table'!$A691,SEARCH(";",'Special Help Table'!$A691))-SEARCH(";",'Special Help Table'!$A691)-2),AND(LEN('Special Help Table'!$A691)-LEN(SUBSTITUTE('Special Help Table'!$A691,"and ",""))=0,LEN('Special Help Table'!$A691)-LEN(SUBSTITUTE('Special Help Table'!$A691,";",""))=0),'Special Help Table'!$A691,AND(LEN('Special Help Table'!$A691)-LEN(SUBSTITUTE('Special Help Table'!$A691,",","")=1),LEN('Special Help Table'!$A691)-LEN(SUBSTITUTE('Special Help Table'!$A691," ","")=20),LEN('Special Help Table'!$A691)-LEN(SUBSTITUTE('Special Help Table'!$A691," and",""))=0,LEN('Special Help Table'!$A691)-LEN(SUBSTITUTE('Special Help Table'!$A691,",","",FIND(" ",'Special Help Table'!$A691)+1))=0),RIGHT('Special Help Table'!$A691,LEN('Special Help Table'!$A691)-FIND(", ",'Special Help Table'!$A691))&amp;" "&amp;LEFT('Special Help Table'!$A691,FIND(",",'Special Help Table'!$A691)-1),AND(LEN('Special Help Table'!$A691)-LEN(SUBSTITUTE('Special Help Table'!$A691,"editor",""))=6,LEN('Special Help Table'!$A691)-LEN(SUBSTITUTE('Special Help Table'!$A691,"(",""))=0,LEN('Special Help Table'!$A691)-LEN(SUBSTITUTE('Special Help Table'!$A691,"and",""))=3,LEN('Special Help Table'!$A691)-LEN(SUBSTITUTE('Special Help Table'!$A691,",",""))=1,LEN('Special Help Table'!$A691)-LEN(SUBSTITUTE('Special Help Table'!$A691," ",""))=3),'Special Help Table'!$A691)</f>
        <v xml:space="preserve"> John R. W.  Stott</v>
      </c>
      <c r="C691" s="4" t="s">
        <v>1277</v>
      </c>
      <c r="D691" s="2"/>
      <c r="E691" s="2" t="s">
        <v>16</v>
      </c>
      <c r="F691" s="2" t="s">
        <v>28</v>
      </c>
      <c r="G691" s="2"/>
      <c r="H691" s="2"/>
      <c r="I691" s="2"/>
      <c r="J691" s="2" t="s">
        <v>679</v>
      </c>
      <c r="K691" s="3">
        <v>40045</v>
      </c>
      <c r="L691" s="2"/>
      <c r="M691" s="2"/>
      <c r="N691" s="2" t="s">
        <v>18</v>
      </c>
    </row>
    <row r="692" spans="1:14" ht="15.75" customHeight="1" x14ac:dyDescent="0.35">
      <c r="A692" s="2" t="s">
        <v>1278</v>
      </c>
      <c r="B692" s="2" t="e" cm="1">
        <f t="array" ref="B692">_xlfn.IFS(AND(LEN('Special Help Table'!$A692)-(LEN(SUBSTITUTE('Special Help Table'!$A692,";","")))=0,LEN('Special Help Table'!$A692)-LEN(SUBSTITUTE('Special Help Table'!$A692,",",""))=1,LEN('Special Help Table'!$A692)-LEN(SUBSTITUTE('Special Help Table'!$A692,"and ",""))=0),MID('Special Help Table'!$A692&amp;" "&amp;'Special Help Table'!$A692,SEARCH(", ",'Special Help Table'!$A692)+1,LEN('Special Help Table'!$A692)),AND(LEN('Special Help Table'!$A692)-(LEN(SUBSTITUTE('Special Help Table'!$A692,";","")))=1,LEN('Special Help Table'!$A692)-LEN(SUBSTITUTE('Special Help Table'!$A692,"and ",""))=0),MID('Special Help Table'!$A692,SEARCH(",",'Special Help Table'!$A692)+1,(SEARCH(";",'Special Help Table'!$A692)-1)-SEARCH(",",'Special Help Table'!$A692))&amp;" "&amp;LEFT('Special Help Table'!$A692,SEARCH(",",'Special Help Table'!$A692)-1)&amp;";"&amp;RIGHT('Special Help Table'!$A692,LEN('Special Help Table'!$A692)-SEARCH(",",'Special Help Table'!$A692,SEARCH(";",'Special Help Table'!$A692)))&amp;" "&amp;MID('Special Help Table'!$A692,SEARCH("; ",'Special Help Table'!$A692)+2,SEARCH(",",'Special Help Table'!$A692,SEARCH(";",'Special Help Table'!$A692))-SEARCH(";",'Special Help Table'!$A692)-2),AND(LEN('Special Help Table'!$A692)-LEN(SUBSTITUTE('Special Help Table'!$A692,"and ",""))=0,LEN('Special Help Table'!$A692)-LEN(SUBSTITUTE('Special Help Table'!$A692,";",""))=0),'Special Help Table'!$A692,AND(LEN('Special Help Table'!$A692)-LEN(SUBSTITUTE('Special Help Table'!$A692,",","")=1),LEN('Special Help Table'!$A692)-LEN(SUBSTITUTE('Special Help Table'!$A692," ","")=20),LEN('Special Help Table'!$A692)-LEN(SUBSTITUTE('Special Help Table'!$A692," and",""))=0,LEN('Special Help Table'!$A692)-LEN(SUBSTITUTE('Special Help Table'!$A692,",","",FIND(" ",'Special Help Table'!$A692)+1))=0),RIGHT('Special Help Table'!$A692,LEN('Special Help Table'!$A692)-FIND(", ",'Special Help Table'!$A692))&amp;" "&amp;LEFT('Special Help Table'!$A692,FIND(",",'Special Help Table'!$A692)-1),AND(LEN('Special Help Table'!$A692)-LEN(SUBSTITUTE('Special Help Table'!$A692,"editor",""))=6,LEN('Special Help Table'!$A692)-LEN(SUBSTITUTE('Special Help Table'!$A692,"(",""))=0,LEN('Special Help Table'!$A692)-LEN(SUBSTITUTE('Special Help Table'!$A692,"and",""))=3,LEN('Special Help Table'!$A692)-LEN(SUBSTITUTE('Special Help Table'!$A692,",",""))=1,LEN('Special Help Table'!$A692)-LEN(SUBSTITUTE('Special Help Table'!$A692," ",""))=3),'Special Help Table'!$A692)</f>
        <v>#N/A</v>
      </c>
      <c r="C692" s="4" t="s">
        <v>1279</v>
      </c>
      <c r="D692" s="2"/>
      <c r="E692" s="2" t="s">
        <v>16</v>
      </c>
      <c r="F692" s="2" t="s">
        <v>72</v>
      </c>
      <c r="G692" s="2"/>
      <c r="H692" s="2"/>
      <c r="I692" s="2"/>
      <c r="J692" s="2"/>
      <c r="K692" s="3">
        <v>43040</v>
      </c>
      <c r="L692" s="2"/>
      <c r="M692" s="2"/>
      <c r="N692" s="2" t="s">
        <v>18</v>
      </c>
    </row>
    <row r="693" spans="1:14" ht="15.75" customHeight="1" x14ac:dyDescent="0.35">
      <c r="A693" s="2" t="s">
        <v>1280</v>
      </c>
      <c r="B693" s="2" t="str" cm="1">
        <f t="array" ref="B693">_xlfn.IFS(AND(LEN('Special Help Table'!$A693)-(LEN(SUBSTITUTE('Special Help Table'!$A693,";","")))=0,LEN('Special Help Table'!$A693)-LEN(SUBSTITUTE('Special Help Table'!$A693,",",""))=1,LEN('Special Help Table'!$A693)-LEN(SUBSTITUTE('Special Help Table'!$A693,"and ",""))=0),MID('Special Help Table'!$A693&amp;" "&amp;'Special Help Table'!$A693,SEARCH(", ",'Special Help Table'!$A693)+1,LEN('Special Help Table'!$A693)),AND(LEN('Special Help Table'!$A693)-(LEN(SUBSTITUTE('Special Help Table'!$A693,";","")))=1,LEN('Special Help Table'!$A693)-LEN(SUBSTITUTE('Special Help Table'!$A693,"and ",""))=0),MID('Special Help Table'!$A693,SEARCH(",",'Special Help Table'!$A693)+1,(SEARCH(";",'Special Help Table'!$A693)-1)-SEARCH(",",'Special Help Table'!$A693))&amp;" "&amp;LEFT('Special Help Table'!$A693,SEARCH(",",'Special Help Table'!$A693)-1)&amp;";"&amp;RIGHT('Special Help Table'!$A693,LEN('Special Help Table'!$A693)-SEARCH(",",'Special Help Table'!$A693,SEARCH(";",'Special Help Table'!$A693)))&amp;" "&amp;MID('Special Help Table'!$A693,SEARCH("; ",'Special Help Table'!$A693)+2,SEARCH(",",'Special Help Table'!$A693,SEARCH(";",'Special Help Table'!$A693))-SEARCH(";",'Special Help Table'!$A693)-2),AND(LEN('Special Help Table'!$A693)-LEN(SUBSTITUTE('Special Help Table'!$A693,"and ",""))=0,LEN('Special Help Table'!$A693)-LEN(SUBSTITUTE('Special Help Table'!$A693,";",""))=0),'Special Help Table'!$A693,AND(LEN('Special Help Table'!$A693)-LEN(SUBSTITUTE('Special Help Table'!$A693,",","")=1),LEN('Special Help Table'!$A693)-LEN(SUBSTITUTE('Special Help Table'!$A693," ","")=20),LEN('Special Help Table'!$A693)-LEN(SUBSTITUTE('Special Help Table'!$A693," and",""))=0,LEN('Special Help Table'!$A693)-LEN(SUBSTITUTE('Special Help Table'!$A693,",","",FIND(" ",'Special Help Table'!$A693)+1))=0),RIGHT('Special Help Table'!$A693,LEN('Special Help Table'!$A693)-FIND(", ",'Special Help Table'!$A693))&amp;" "&amp;LEFT('Special Help Table'!$A693,FIND(",",'Special Help Table'!$A693)-1),AND(LEN('Special Help Table'!$A693)-LEN(SUBSTITUTE('Special Help Table'!$A693,"editor",""))=6,LEN('Special Help Table'!$A693)-LEN(SUBSTITUTE('Special Help Table'!$A693,"(",""))=0,LEN('Special Help Table'!$A693)-LEN(SUBSTITUTE('Special Help Table'!$A693,"and",""))=3,LEN('Special Help Table'!$A693)-LEN(SUBSTITUTE('Special Help Table'!$A693,",",""))=1,LEN('Special Help Table'!$A693)-LEN(SUBSTITUTE('Special Help Table'!$A693," ",""))=3),'Special Help Table'!$A693)</f>
        <v xml:space="preserve"> Daniel Strange</v>
      </c>
      <c r="C693" s="4" t="s">
        <v>1281</v>
      </c>
      <c r="D693" s="2"/>
      <c r="E693" s="2" t="s">
        <v>16</v>
      </c>
      <c r="F693" s="2" t="s">
        <v>17</v>
      </c>
      <c r="G693" s="2"/>
      <c r="H693" s="2"/>
      <c r="I693" s="2"/>
      <c r="J693" s="2" t="s">
        <v>359</v>
      </c>
      <c r="K693" s="3">
        <v>44534</v>
      </c>
      <c r="L693" s="2"/>
      <c r="M693" s="2"/>
      <c r="N693" s="2" t="s">
        <v>18</v>
      </c>
    </row>
    <row r="694" spans="1:14" ht="15.75" customHeight="1" x14ac:dyDescent="0.35">
      <c r="A694" s="2" t="s">
        <v>1280</v>
      </c>
      <c r="B694" s="2" t="str" cm="1">
        <f t="array" ref="B694">_xlfn.IFS(AND(LEN('Special Help Table'!$A694)-(LEN(SUBSTITUTE('Special Help Table'!$A694,";","")))=0,LEN('Special Help Table'!$A694)-LEN(SUBSTITUTE('Special Help Table'!$A694,",",""))=1,LEN('Special Help Table'!$A694)-LEN(SUBSTITUTE('Special Help Table'!$A694,"and ",""))=0),MID('Special Help Table'!$A694&amp;" "&amp;'Special Help Table'!$A694,SEARCH(", ",'Special Help Table'!$A694)+1,LEN('Special Help Table'!$A694)),AND(LEN('Special Help Table'!$A694)-(LEN(SUBSTITUTE('Special Help Table'!$A694,";","")))=1,LEN('Special Help Table'!$A694)-LEN(SUBSTITUTE('Special Help Table'!$A694,"and ",""))=0),MID('Special Help Table'!$A694,SEARCH(",",'Special Help Table'!$A694)+1,(SEARCH(";",'Special Help Table'!$A694)-1)-SEARCH(",",'Special Help Table'!$A694))&amp;" "&amp;LEFT('Special Help Table'!$A694,SEARCH(",",'Special Help Table'!$A694)-1)&amp;";"&amp;RIGHT('Special Help Table'!$A694,LEN('Special Help Table'!$A694)-SEARCH(",",'Special Help Table'!$A694,SEARCH(";",'Special Help Table'!$A694)))&amp;" "&amp;MID('Special Help Table'!$A694,SEARCH("; ",'Special Help Table'!$A694)+2,SEARCH(",",'Special Help Table'!$A694,SEARCH(";",'Special Help Table'!$A694))-SEARCH(";",'Special Help Table'!$A694)-2),AND(LEN('Special Help Table'!$A694)-LEN(SUBSTITUTE('Special Help Table'!$A694,"and ",""))=0,LEN('Special Help Table'!$A694)-LEN(SUBSTITUTE('Special Help Table'!$A694,";",""))=0),'Special Help Table'!$A694,AND(LEN('Special Help Table'!$A694)-LEN(SUBSTITUTE('Special Help Table'!$A694,",","")=1),LEN('Special Help Table'!$A694)-LEN(SUBSTITUTE('Special Help Table'!$A694," ","")=20),LEN('Special Help Table'!$A694)-LEN(SUBSTITUTE('Special Help Table'!$A694," and",""))=0,LEN('Special Help Table'!$A694)-LEN(SUBSTITUTE('Special Help Table'!$A694,",","",FIND(" ",'Special Help Table'!$A694)+1))=0),RIGHT('Special Help Table'!$A694,LEN('Special Help Table'!$A694)-FIND(", ",'Special Help Table'!$A694))&amp;" "&amp;LEFT('Special Help Table'!$A694,FIND(",",'Special Help Table'!$A694)-1),AND(LEN('Special Help Table'!$A694)-LEN(SUBSTITUTE('Special Help Table'!$A694,"editor",""))=6,LEN('Special Help Table'!$A694)-LEN(SUBSTITUTE('Special Help Table'!$A694,"(",""))=0,LEN('Special Help Table'!$A694)-LEN(SUBSTITUTE('Special Help Table'!$A694,"and",""))=3,LEN('Special Help Table'!$A694)-LEN(SUBSTITUTE('Special Help Table'!$A694,",",""))=1,LEN('Special Help Table'!$A694)-LEN(SUBSTITUTE('Special Help Table'!$A694," ",""))=3),'Special Help Table'!$A694)</f>
        <v xml:space="preserve"> Daniel Strange</v>
      </c>
      <c r="C694" s="4" t="s">
        <v>1282</v>
      </c>
      <c r="D694" s="2"/>
      <c r="E694" s="2" t="s">
        <v>16</v>
      </c>
      <c r="F694" s="2" t="s">
        <v>20</v>
      </c>
      <c r="G694" s="2"/>
      <c r="H694" s="2"/>
      <c r="I694" s="2"/>
      <c r="J694" s="2" t="s">
        <v>1283</v>
      </c>
      <c r="K694" s="3">
        <v>44772</v>
      </c>
      <c r="L694" s="2"/>
      <c r="M694" s="2"/>
      <c r="N694" s="2" t="s">
        <v>18</v>
      </c>
    </row>
    <row r="695" spans="1:14" ht="15.75" customHeight="1" x14ac:dyDescent="0.35">
      <c r="A695" s="2" t="s">
        <v>1284</v>
      </c>
      <c r="B695" s="2" t="str" cm="1">
        <f t="array" ref="B695">_xlfn.IFS(AND(LEN('Special Help Table'!$A695)-(LEN(SUBSTITUTE('Special Help Table'!$A695,";","")))=0,LEN('Special Help Table'!$A695)-LEN(SUBSTITUTE('Special Help Table'!$A695,",",""))=1,LEN('Special Help Table'!$A695)-LEN(SUBSTITUTE('Special Help Table'!$A695,"and ",""))=0),MID('Special Help Table'!$A695&amp;" "&amp;'Special Help Table'!$A695,SEARCH(", ",'Special Help Table'!$A695)+1,LEN('Special Help Table'!$A695)),AND(LEN('Special Help Table'!$A695)-(LEN(SUBSTITUTE('Special Help Table'!$A695,";","")))=1,LEN('Special Help Table'!$A695)-LEN(SUBSTITUTE('Special Help Table'!$A695,"and ",""))=0),MID('Special Help Table'!$A695,SEARCH(",",'Special Help Table'!$A695)+1,(SEARCH(";",'Special Help Table'!$A695)-1)-SEARCH(",",'Special Help Table'!$A695))&amp;" "&amp;LEFT('Special Help Table'!$A695,SEARCH(",",'Special Help Table'!$A695)-1)&amp;";"&amp;RIGHT('Special Help Table'!$A695,LEN('Special Help Table'!$A695)-SEARCH(",",'Special Help Table'!$A695,SEARCH(";",'Special Help Table'!$A695)))&amp;" "&amp;MID('Special Help Table'!$A695,SEARCH("; ",'Special Help Table'!$A695)+2,SEARCH(",",'Special Help Table'!$A695,SEARCH(";",'Special Help Table'!$A695))-SEARCH(";",'Special Help Table'!$A695)-2),AND(LEN('Special Help Table'!$A695)-LEN(SUBSTITUTE('Special Help Table'!$A695,"and ",""))=0,LEN('Special Help Table'!$A695)-LEN(SUBSTITUTE('Special Help Table'!$A695,";",""))=0),'Special Help Table'!$A695,AND(LEN('Special Help Table'!$A695)-LEN(SUBSTITUTE('Special Help Table'!$A695,",","")=1),LEN('Special Help Table'!$A695)-LEN(SUBSTITUTE('Special Help Table'!$A695," ","")=20),LEN('Special Help Table'!$A695)-LEN(SUBSTITUTE('Special Help Table'!$A695," and",""))=0,LEN('Special Help Table'!$A695)-LEN(SUBSTITUTE('Special Help Table'!$A695,",","",FIND(" ",'Special Help Table'!$A695)+1))=0),RIGHT('Special Help Table'!$A695,LEN('Special Help Table'!$A695)-FIND(", ",'Special Help Table'!$A695))&amp;" "&amp;LEFT('Special Help Table'!$A695,FIND(",",'Special Help Table'!$A695)-1),AND(LEN('Special Help Table'!$A695)-LEN(SUBSTITUTE('Special Help Table'!$A695,"editor",""))=6,LEN('Special Help Table'!$A695)-LEN(SUBSTITUTE('Special Help Table'!$A695,"(",""))=0,LEN('Special Help Table'!$A695)-LEN(SUBSTITUTE('Special Help Table'!$A695,"and",""))=3,LEN('Special Help Table'!$A695)-LEN(SUBSTITUTE('Special Help Table'!$A695,",",""))=1,LEN('Special Help Table'!$A695)-LEN(SUBSTITUTE('Special Help Table'!$A695," ",""))=3),'Special Help Table'!$A695)</f>
        <v xml:space="preserve"> Alexander Strauch</v>
      </c>
      <c r="C695" s="4" t="s">
        <v>1285</v>
      </c>
      <c r="D695" s="2"/>
      <c r="E695" s="2" t="s">
        <v>16</v>
      </c>
      <c r="F695" s="2" t="s">
        <v>33</v>
      </c>
      <c r="G695" s="2"/>
      <c r="H695" s="2"/>
      <c r="I695" s="2"/>
      <c r="J695" s="2" t="s">
        <v>52</v>
      </c>
      <c r="K695" s="3">
        <v>40046</v>
      </c>
      <c r="L695" s="2"/>
      <c r="M695" s="2"/>
      <c r="N695" s="2" t="s">
        <v>18</v>
      </c>
    </row>
    <row r="696" spans="1:14" ht="15.75" customHeight="1" x14ac:dyDescent="0.35">
      <c r="A696" s="2" t="s">
        <v>1284</v>
      </c>
      <c r="B696" s="2" t="str" cm="1">
        <f t="array" ref="B696">_xlfn.IFS(AND(LEN('Special Help Table'!$A696)-(LEN(SUBSTITUTE('Special Help Table'!$A696,";","")))=0,LEN('Special Help Table'!$A696)-LEN(SUBSTITUTE('Special Help Table'!$A696,",",""))=1,LEN('Special Help Table'!$A696)-LEN(SUBSTITUTE('Special Help Table'!$A696,"and ",""))=0),MID('Special Help Table'!$A696&amp;" "&amp;'Special Help Table'!$A696,SEARCH(", ",'Special Help Table'!$A696)+1,LEN('Special Help Table'!$A696)),AND(LEN('Special Help Table'!$A696)-(LEN(SUBSTITUTE('Special Help Table'!$A696,";","")))=1,LEN('Special Help Table'!$A696)-LEN(SUBSTITUTE('Special Help Table'!$A696,"and ",""))=0),MID('Special Help Table'!$A696,SEARCH(",",'Special Help Table'!$A696)+1,(SEARCH(";",'Special Help Table'!$A696)-1)-SEARCH(",",'Special Help Table'!$A696))&amp;" "&amp;LEFT('Special Help Table'!$A696,SEARCH(",",'Special Help Table'!$A696)-1)&amp;";"&amp;RIGHT('Special Help Table'!$A696,LEN('Special Help Table'!$A696)-SEARCH(",",'Special Help Table'!$A696,SEARCH(";",'Special Help Table'!$A696)))&amp;" "&amp;MID('Special Help Table'!$A696,SEARCH("; ",'Special Help Table'!$A696)+2,SEARCH(",",'Special Help Table'!$A696,SEARCH(";",'Special Help Table'!$A696))-SEARCH(";",'Special Help Table'!$A696)-2),AND(LEN('Special Help Table'!$A696)-LEN(SUBSTITUTE('Special Help Table'!$A696,"and ",""))=0,LEN('Special Help Table'!$A696)-LEN(SUBSTITUTE('Special Help Table'!$A696,";",""))=0),'Special Help Table'!$A696,AND(LEN('Special Help Table'!$A696)-LEN(SUBSTITUTE('Special Help Table'!$A696,",","")=1),LEN('Special Help Table'!$A696)-LEN(SUBSTITUTE('Special Help Table'!$A696," ","")=20),LEN('Special Help Table'!$A696)-LEN(SUBSTITUTE('Special Help Table'!$A696," and",""))=0,LEN('Special Help Table'!$A696)-LEN(SUBSTITUTE('Special Help Table'!$A696,",","",FIND(" ",'Special Help Table'!$A696)+1))=0),RIGHT('Special Help Table'!$A696,LEN('Special Help Table'!$A696)-FIND(", ",'Special Help Table'!$A696))&amp;" "&amp;LEFT('Special Help Table'!$A696,FIND(",",'Special Help Table'!$A696)-1),AND(LEN('Special Help Table'!$A696)-LEN(SUBSTITUTE('Special Help Table'!$A696,"editor",""))=6,LEN('Special Help Table'!$A696)-LEN(SUBSTITUTE('Special Help Table'!$A696,"(",""))=0,LEN('Special Help Table'!$A696)-LEN(SUBSTITUTE('Special Help Table'!$A696,"and",""))=3,LEN('Special Help Table'!$A696)-LEN(SUBSTITUTE('Special Help Table'!$A696,",",""))=1,LEN('Special Help Table'!$A696)-LEN(SUBSTITUTE('Special Help Table'!$A696," ",""))=3),'Special Help Table'!$A696)</f>
        <v xml:space="preserve"> Alexander Strauch</v>
      </c>
      <c r="C696" s="4" t="s">
        <v>1286</v>
      </c>
      <c r="D696" s="2"/>
      <c r="E696" s="2" t="s">
        <v>16</v>
      </c>
      <c r="F696" s="2" t="s">
        <v>33</v>
      </c>
      <c r="G696" s="2"/>
      <c r="H696" s="2"/>
      <c r="I696" s="2"/>
      <c r="J696" s="2" t="s">
        <v>233</v>
      </c>
      <c r="K696" s="3">
        <v>40047</v>
      </c>
      <c r="L696" s="2"/>
      <c r="M696" s="2"/>
      <c r="N696" s="2" t="s">
        <v>18</v>
      </c>
    </row>
    <row r="697" spans="1:14" ht="15.75" customHeight="1" x14ac:dyDescent="0.35">
      <c r="A697" s="2" t="s">
        <v>1287</v>
      </c>
      <c r="B697" s="2" t="str" cm="1">
        <f t="array" ref="B697">_xlfn.IFS(AND(LEN('Special Help Table'!$A697)-(LEN(SUBSTITUTE('Special Help Table'!$A697,";","")))=0,LEN('Special Help Table'!$A697)-LEN(SUBSTITUTE('Special Help Table'!$A697,",",""))=1,LEN('Special Help Table'!$A697)-LEN(SUBSTITUTE('Special Help Table'!$A697,"and ",""))=0),MID('Special Help Table'!$A697&amp;" "&amp;'Special Help Table'!$A697,SEARCH(", ",'Special Help Table'!$A697)+1,LEN('Special Help Table'!$A697)),AND(LEN('Special Help Table'!$A697)-(LEN(SUBSTITUTE('Special Help Table'!$A697,";","")))=1,LEN('Special Help Table'!$A697)-LEN(SUBSTITUTE('Special Help Table'!$A697,"and ",""))=0),MID('Special Help Table'!$A697,SEARCH(",",'Special Help Table'!$A697)+1,(SEARCH(";",'Special Help Table'!$A697)-1)-SEARCH(",",'Special Help Table'!$A697))&amp;" "&amp;LEFT('Special Help Table'!$A697,SEARCH(",",'Special Help Table'!$A697)-1)&amp;";"&amp;RIGHT('Special Help Table'!$A697,LEN('Special Help Table'!$A697)-SEARCH(",",'Special Help Table'!$A697,SEARCH(";",'Special Help Table'!$A697)))&amp;" "&amp;MID('Special Help Table'!$A697,SEARCH("; ",'Special Help Table'!$A697)+2,SEARCH(",",'Special Help Table'!$A697,SEARCH(";",'Special Help Table'!$A697))-SEARCH(";",'Special Help Table'!$A697)-2),AND(LEN('Special Help Table'!$A697)-LEN(SUBSTITUTE('Special Help Table'!$A697,"and ",""))=0,LEN('Special Help Table'!$A697)-LEN(SUBSTITUTE('Special Help Table'!$A697,";",""))=0),'Special Help Table'!$A697,AND(LEN('Special Help Table'!$A697)-LEN(SUBSTITUTE('Special Help Table'!$A697,",","")=1),LEN('Special Help Table'!$A697)-LEN(SUBSTITUTE('Special Help Table'!$A697," ","")=20),LEN('Special Help Table'!$A697)-LEN(SUBSTITUTE('Special Help Table'!$A697," and",""))=0,LEN('Special Help Table'!$A697)-LEN(SUBSTITUTE('Special Help Table'!$A697,",","",FIND(" ",'Special Help Table'!$A697)+1))=0),RIGHT('Special Help Table'!$A697,LEN('Special Help Table'!$A697)-FIND(", ",'Special Help Table'!$A697))&amp;" "&amp;LEFT('Special Help Table'!$A697,FIND(",",'Special Help Table'!$A697)-1),AND(LEN('Special Help Table'!$A697)-LEN(SUBSTITUTE('Special Help Table'!$A697,"editor",""))=6,LEN('Special Help Table'!$A697)-LEN(SUBSTITUTE('Special Help Table'!$A697,"(",""))=0,LEN('Special Help Table'!$A697)-LEN(SUBSTITUTE('Special Help Table'!$A697,"and",""))=3,LEN('Special Help Table'!$A697)-LEN(SUBSTITUTE('Special Help Table'!$A697,",",""))=1,LEN('Special Help Table'!$A697)-LEN(SUBSTITUTE('Special Help Table'!$A697," ",""))=3),'Special Help Table'!$A697)</f>
        <v xml:space="preserve"> Catherine Swift</v>
      </c>
      <c r="C697" s="4" t="s">
        <v>1288</v>
      </c>
      <c r="D697" s="2"/>
      <c r="E697" s="2" t="s">
        <v>16</v>
      </c>
      <c r="F697" s="2" t="s">
        <v>39</v>
      </c>
      <c r="G697" s="2"/>
      <c r="H697" s="2"/>
      <c r="I697" s="2"/>
      <c r="J697" s="2" t="s">
        <v>705</v>
      </c>
      <c r="K697" s="3">
        <v>40048</v>
      </c>
      <c r="L697" s="2"/>
      <c r="M697" s="2"/>
      <c r="N697" s="2" t="s">
        <v>18</v>
      </c>
    </row>
    <row r="698" spans="1:14" ht="15.75" customHeight="1" x14ac:dyDescent="0.35">
      <c r="A698" s="2" t="s">
        <v>1289</v>
      </c>
      <c r="B698" s="2" t="str" cm="1">
        <f t="array" ref="B698">_xlfn.IFS(AND(LEN('Special Help Table'!$A698)-(LEN(SUBSTITUTE('Special Help Table'!$A698,";","")))=0,LEN('Special Help Table'!$A698)-LEN(SUBSTITUTE('Special Help Table'!$A698,",",""))=1,LEN('Special Help Table'!$A698)-LEN(SUBSTITUTE('Special Help Table'!$A698,"and ",""))=0),MID('Special Help Table'!$A698&amp;" "&amp;'Special Help Table'!$A698,SEARCH(", ",'Special Help Table'!$A698)+1,LEN('Special Help Table'!$A698)),AND(LEN('Special Help Table'!$A698)-(LEN(SUBSTITUTE('Special Help Table'!$A698,";","")))=1,LEN('Special Help Table'!$A698)-LEN(SUBSTITUTE('Special Help Table'!$A698,"and ",""))=0),MID('Special Help Table'!$A698,SEARCH(",",'Special Help Table'!$A698)+1,(SEARCH(";",'Special Help Table'!$A698)-1)-SEARCH(",",'Special Help Table'!$A698))&amp;" "&amp;LEFT('Special Help Table'!$A698,SEARCH(",",'Special Help Table'!$A698)-1)&amp;";"&amp;RIGHT('Special Help Table'!$A698,LEN('Special Help Table'!$A698)-SEARCH(",",'Special Help Table'!$A698,SEARCH(";",'Special Help Table'!$A698)))&amp;" "&amp;MID('Special Help Table'!$A698,SEARCH("; ",'Special Help Table'!$A698)+2,SEARCH(",",'Special Help Table'!$A698,SEARCH(";",'Special Help Table'!$A698))-SEARCH(";",'Special Help Table'!$A698)-2),AND(LEN('Special Help Table'!$A698)-LEN(SUBSTITUTE('Special Help Table'!$A698,"and ",""))=0,LEN('Special Help Table'!$A698)-LEN(SUBSTITUTE('Special Help Table'!$A698,";",""))=0),'Special Help Table'!$A698,AND(LEN('Special Help Table'!$A698)-LEN(SUBSTITUTE('Special Help Table'!$A698,",","")=1),LEN('Special Help Table'!$A698)-LEN(SUBSTITUTE('Special Help Table'!$A698," ","")=20),LEN('Special Help Table'!$A698)-LEN(SUBSTITUTE('Special Help Table'!$A698," and",""))=0,LEN('Special Help Table'!$A698)-LEN(SUBSTITUTE('Special Help Table'!$A698,",","",FIND(" ",'Special Help Table'!$A698)+1))=0),RIGHT('Special Help Table'!$A698,LEN('Special Help Table'!$A698)-FIND(", ",'Special Help Table'!$A698))&amp;" "&amp;LEFT('Special Help Table'!$A698,FIND(",",'Special Help Table'!$A698)-1),AND(LEN('Special Help Table'!$A698)-LEN(SUBSTITUTE('Special Help Table'!$A698,"editor",""))=6,LEN('Special Help Table'!$A698)-LEN(SUBSTITUTE('Special Help Table'!$A698,"(",""))=0,LEN('Special Help Table'!$A698)-LEN(SUBSTITUTE('Special Help Table'!$A698,"and",""))=3,LEN('Special Help Table'!$A698)-LEN(SUBSTITUTE('Special Help Table'!$A698,",",""))=1,LEN('Special Help Table'!$A698)-LEN(SUBSTITUTE('Special Help Table'!$A698," ",""))=3),'Special Help Table'!$A698)</f>
        <v xml:space="preserve"> Joni Eareckson Tada</v>
      </c>
      <c r="C698" s="4" t="s">
        <v>1290</v>
      </c>
      <c r="D698" s="2"/>
      <c r="E698" s="2" t="s">
        <v>16</v>
      </c>
      <c r="F698" s="2" t="s">
        <v>39</v>
      </c>
      <c r="G698" s="2"/>
      <c r="H698" s="2"/>
      <c r="I698" s="2"/>
      <c r="J698" s="2"/>
      <c r="K698" s="3">
        <v>41225</v>
      </c>
      <c r="L698" s="2"/>
      <c r="M698" s="2"/>
      <c r="N698" s="2" t="s">
        <v>18</v>
      </c>
    </row>
    <row r="699" spans="1:14" ht="15.75" customHeight="1" x14ac:dyDescent="0.35">
      <c r="A699" s="2" t="s">
        <v>1291</v>
      </c>
      <c r="B699" s="2" t="str" cm="1">
        <f t="array" ref="B699">_xlfn.IFS(AND(LEN('Special Help Table'!$A699)-(LEN(SUBSTITUTE('Special Help Table'!$A699,";","")))=0,LEN('Special Help Table'!$A699)-LEN(SUBSTITUTE('Special Help Table'!$A699,",",""))=1,LEN('Special Help Table'!$A699)-LEN(SUBSTITUTE('Special Help Table'!$A699,"and ",""))=0),MID('Special Help Table'!$A699&amp;" "&amp;'Special Help Table'!$A699,SEARCH(", ",'Special Help Table'!$A699)+1,LEN('Special Help Table'!$A699)),AND(LEN('Special Help Table'!$A699)-(LEN(SUBSTITUTE('Special Help Table'!$A699,";","")))=1,LEN('Special Help Table'!$A699)-LEN(SUBSTITUTE('Special Help Table'!$A699,"and ",""))=0),MID('Special Help Table'!$A699,SEARCH(",",'Special Help Table'!$A699)+1,(SEARCH(";",'Special Help Table'!$A699)-1)-SEARCH(",",'Special Help Table'!$A699))&amp;" "&amp;LEFT('Special Help Table'!$A699,SEARCH(",",'Special Help Table'!$A699)-1)&amp;";"&amp;RIGHT('Special Help Table'!$A699,LEN('Special Help Table'!$A699)-SEARCH(",",'Special Help Table'!$A699,SEARCH(";",'Special Help Table'!$A699)))&amp;" "&amp;MID('Special Help Table'!$A699,SEARCH("; ",'Special Help Table'!$A699)+2,SEARCH(",",'Special Help Table'!$A699,SEARCH(";",'Special Help Table'!$A699))-SEARCH(";",'Special Help Table'!$A699)-2),AND(LEN('Special Help Table'!$A699)-LEN(SUBSTITUTE('Special Help Table'!$A699,"and ",""))=0,LEN('Special Help Table'!$A699)-LEN(SUBSTITUTE('Special Help Table'!$A699,";",""))=0),'Special Help Table'!$A699,AND(LEN('Special Help Table'!$A699)-LEN(SUBSTITUTE('Special Help Table'!$A699,",","")=1),LEN('Special Help Table'!$A699)-LEN(SUBSTITUTE('Special Help Table'!$A699," ","")=20),LEN('Special Help Table'!$A699)-LEN(SUBSTITUTE('Special Help Table'!$A699," and",""))=0,LEN('Special Help Table'!$A699)-LEN(SUBSTITUTE('Special Help Table'!$A699,",","",FIND(" ",'Special Help Table'!$A699)+1))=0),RIGHT('Special Help Table'!$A699,LEN('Special Help Table'!$A699)-FIND(", ",'Special Help Table'!$A699))&amp;" "&amp;LEFT('Special Help Table'!$A699,FIND(",",'Special Help Table'!$A699)-1),AND(LEN('Special Help Table'!$A699)-LEN(SUBSTITUTE('Special Help Table'!$A699,"editor",""))=6,LEN('Special Help Table'!$A699)-LEN(SUBSTITUTE('Special Help Table'!$A699,"(",""))=0,LEN('Special Help Table'!$A699)-LEN(SUBSTITUTE('Special Help Table'!$A699,"and",""))=3,LEN('Special Help Table'!$A699)-LEN(SUBSTITUTE('Special Help Table'!$A699,",",""))=1,LEN('Special Help Table'!$A699)-LEN(SUBSTITUTE('Special Help Table'!$A699," ",""))=3),'Special Help Table'!$A699)</f>
        <v xml:space="preserve"> Joni Eareckson Tada; Steve Estes</v>
      </c>
      <c r="C699" s="4" t="s">
        <v>1292</v>
      </c>
      <c r="D699" s="2" t="s">
        <v>1293</v>
      </c>
      <c r="E699" s="2" t="s">
        <v>16</v>
      </c>
      <c r="F699" s="2" t="s">
        <v>17</v>
      </c>
      <c r="G699" s="2"/>
      <c r="H699" s="2"/>
      <c r="I699" s="2"/>
      <c r="J699" s="2" t="s">
        <v>188</v>
      </c>
      <c r="K699" s="3">
        <v>40049</v>
      </c>
      <c r="L699" s="2"/>
      <c r="M699" s="2"/>
      <c r="N699" s="2" t="s">
        <v>18</v>
      </c>
    </row>
    <row r="700" spans="1:14" ht="15.75" customHeight="1" x14ac:dyDescent="0.35">
      <c r="A700" s="2" t="s">
        <v>1294</v>
      </c>
      <c r="B700" s="2" t="str" cm="1">
        <f t="array" ref="B700">_xlfn.IFS(AND(LEN('Special Help Table'!$A700)-(LEN(SUBSTITUTE('Special Help Table'!$A700,";","")))=0,LEN('Special Help Table'!$A700)-LEN(SUBSTITUTE('Special Help Table'!$A700,",",""))=1,LEN('Special Help Table'!$A700)-LEN(SUBSTITUTE('Special Help Table'!$A700,"and ",""))=0),MID('Special Help Table'!$A700&amp;" "&amp;'Special Help Table'!$A700,SEARCH(", ",'Special Help Table'!$A700)+1,LEN('Special Help Table'!$A700)),AND(LEN('Special Help Table'!$A700)-(LEN(SUBSTITUTE('Special Help Table'!$A700,";","")))=1,LEN('Special Help Table'!$A700)-LEN(SUBSTITUTE('Special Help Table'!$A700,"and ",""))=0),MID('Special Help Table'!$A700,SEARCH(",",'Special Help Table'!$A700)+1,(SEARCH(";",'Special Help Table'!$A700)-1)-SEARCH(",",'Special Help Table'!$A700))&amp;" "&amp;LEFT('Special Help Table'!$A700,SEARCH(",",'Special Help Table'!$A700)-1)&amp;";"&amp;RIGHT('Special Help Table'!$A700,LEN('Special Help Table'!$A700)-SEARCH(",",'Special Help Table'!$A700,SEARCH(";",'Special Help Table'!$A700)))&amp;" "&amp;MID('Special Help Table'!$A700,SEARCH("; ",'Special Help Table'!$A700)+2,SEARCH(",",'Special Help Table'!$A700,SEARCH(";",'Special Help Table'!$A700))-SEARCH(";",'Special Help Table'!$A700)-2),AND(LEN('Special Help Table'!$A700)-LEN(SUBSTITUTE('Special Help Table'!$A700,"and ",""))=0,LEN('Special Help Table'!$A700)-LEN(SUBSTITUTE('Special Help Table'!$A700,";",""))=0),'Special Help Table'!$A700,AND(LEN('Special Help Table'!$A700)-LEN(SUBSTITUTE('Special Help Table'!$A700,",","")=1),LEN('Special Help Table'!$A700)-LEN(SUBSTITUTE('Special Help Table'!$A700," ","")=20),LEN('Special Help Table'!$A700)-LEN(SUBSTITUTE('Special Help Table'!$A700," and",""))=0,LEN('Special Help Table'!$A700)-LEN(SUBSTITUTE('Special Help Table'!$A700,",","",FIND(" ",'Special Help Table'!$A700)+1))=0),RIGHT('Special Help Table'!$A700,LEN('Special Help Table'!$A700)-FIND(", ",'Special Help Table'!$A700))&amp;" "&amp;LEFT('Special Help Table'!$A700,FIND(",",'Special Help Table'!$A700)-1),AND(LEN('Special Help Table'!$A700)-LEN(SUBSTITUTE('Special Help Table'!$A700,"editor",""))=6,LEN('Special Help Table'!$A700)-LEN(SUBSTITUTE('Special Help Table'!$A700,"(",""))=0,LEN('Special Help Table'!$A700)-LEN(SUBSTITUTE('Special Help Table'!$A700,"and",""))=3,LEN('Special Help Table'!$A700)-LEN(SUBSTITUTE('Special Help Table'!$A700,",",""))=1,LEN('Special Help Table'!$A700)-LEN(SUBSTITUTE('Special Help Table'!$A700," ",""))=3),'Special Help Table'!$A700)</f>
        <v xml:space="preserve"> Layton Talbert</v>
      </c>
      <c r="C700" s="4" t="s">
        <v>1295</v>
      </c>
      <c r="D700" s="2"/>
      <c r="E700" s="2" t="s">
        <v>16</v>
      </c>
      <c r="F700" s="2" t="s">
        <v>28</v>
      </c>
      <c r="G700" s="2" t="s">
        <v>17</v>
      </c>
      <c r="H700" s="2"/>
      <c r="I700" s="2"/>
      <c r="J700" s="2" t="s">
        <v>100</v>
      </c>
      <c r="K700" s="3">
        <v>40050</v>
      </c>
      <c r="L700" s="2"/>
      <c r="M700" s="2"/>
      <c r="N700" s="2" t="s">
        <v>18</v>
      </c>
    </row>
    <row r="701" spans="1:14" ht="15.75" customHeight="1" x14ac:dyDescent="0.35">
      <c r="A701" s="2" t="s">
        <v>1296</v>
      </c>
      <c r="B701" s="2" t="str" cm="1">
        <f t="array" ref="B701">_xlfn.IFS(AND(LEN('Special Help Table'!$A701)-(LEN(SUBSTITUTE('Special Help Table'!$A701,";","")))=0,LEN('Special Help Table'!$A701)-LEN(SUBSTITUTE('Special Help Table'!$A701,",",""))=1,LEN('Special Help Table'!$A701)-LEN(SUBSTITUTE('Special Help Table'!$A701,"and ",""))=0),MID('Special Help Table'!$A701&amp;" "&amp;'Special Help Table'!$A701,SEARCH(", ",'Special Help Table'!$A701)+1,LEN('Special Help Table'!$A701)),AND(LEN('Special Help Table'!$A701)-(LEN(SUBSTITUTE('Special Help Table'!$A701,";","")))=1,LEN('Special Help Table'!$A701)-LEN(SUBSTITUTE('Special Help Table'!$A701,"and ",""))=0),MID('Special Help Table'!$A701,SEARCH(",",'Special Help Table'!$A701)+1,(SEARCH(";",'Special Help Table'!$A701)-1)-SEARCH(",",'Special Help Table'!$A701))&amp;" "&amp;LEFT('Special Help Table'!$A701,SEARCH(",",'Special Help Table'!$A701)-1)&amp;";"&amp;RIGHT('Special Help Table'!$A701,LEN('Special Help Table'!$A701)-SEARCH(",",'Special Help Table'!$A701,SEARCH(";",'Special Help Table'!$A701)))&amp;" "&amp;MID('Special Help Table'!$A701,SEARCH("; ",'Special Help Table'!$A701)+2,SEARCH(",",'Special Help Table'!$A701,SEARCH(";",'Special Help Table'!$A701))-SEARCH(";",'Special Help Table'!$A701)-2),AND(LEN('Special Help Table'!$A701)-LEN(SUBSTITUTE('Special Help Table'!$A701,"and ",""))=0,LEN('Special Help Table'!$A701)-LEN(SUBSTITUTE('Special Help Table'!$A701,";",""))=0),'Special Help Table'!$A701,AND(LEN('Special Help Table'!$A701)-LEN(SUBSTITUTE('Special Help Table'!$A701,",","")=1),LEN('Special Help Table'!$A701)-LEN(SUBSTITUTE('Special Help Table'!$A701," ","")=20),LEN('Special Help Table'!$A701)-LEN(SUBSTITUTE('Special Help Table'!$A701," and",""))=0,LEN('Special Help Table'!$A701)-LEN(SUBSTITUTE('Special Help Table'!$A701,",","",FIND(" ",'Special Help Table'!$A701)+1))=0),RIGHT('Special Help Table'!$A701,LEN('Special Help Table'!$A701)-FIND(", ",'Special Help Table'!$A701))&amp;" "&amp;LEFT('Special Help Table'!$A701,FIND(",",'Special Help Table'!$A701)-1),AND(LEN('Special Help Table'!$A701)-LEN(SUBSTITUTE('Special Help Table'!$A701,"editor",""))=6,LEN('Special Help Table'!$A701)-LEN(SUBSTITUTE('Special Help Table'!$A701,"(",""))=0,LEN('Special Help Table'!$A701)-LEN(SUBSTITUTE('Special Help Table'!$A701,"and",""))=3,LEN('Special Help Table'!$A701)-LEN(SUBSTITUTE('Special Help Table'!$A701,",",""))=1,LEN('Special Help Table'!$A701)-LEN(SUBSTITUTE('Special Help Table'!$A701," ",""))=3),'Special Help Table'!$A701)</f>
        <v xml:space="preserve"> Paul Tauges</v>
      </c>
      <c r="C701" s="4" t="s">
        <v>1297</v>
      </c>
      <c r="D701" s="2"/>
      <c r="E701" s="2" t="s">
        <v>16</v>
      </c>
      <c r="F701" s="2" t="s">
        <v>17</v>
      </c>
      <c r="G701" s="2"/>
      <c r="H701" s="2"/>
      <c r="I701" s="2"/>
      <c r="J701" s="2" t="s">
        <v>1298</v>
      </c>
      <c r="K701" s="3">
        <v>40051</v>
      </c>
      <c r="L701" s="2"/>
      <c r="M701" s="2"/>
      <c r="N701" s="2" t="s">
        <v>18</v>
      </c>
    </row>
    <row r="702" spans="1:14" ht="15.75" customHeight="1" x14ac:dyDescent="0.35">
      <c r="A702" s="2" t="s">
        <v>1299</v>
      </c>
      <c r="B702" s="2" t="str" cm="1">
        <f t="array" ref="B702">_xlfn.IFS(AND(LEN('Special Help Table'!$A702)-(LEN(SUBSTITUTE('Special Help Table'!$A702,";","")))=0,LEN('Special Help Table'!$A702)-LEN(SUBSTITUTE('Special Help Table'!$A702,",",""))=1,LEN('Special Help Table'!$A702)-LEN(SUBSTITUTE('Special Help Table'!$A702,"and ",""))=0),MID('Special Help Table'!$A702&amp;" "&amp;'Special Help Table'!$A702,SEARCH(", ",'Special Help Table'!$A702)+1,LEN('Special Help Table'!$A702)),AND(LEN('Special Help Table'!$A702)-(LEN(SUBSTITUTE('Special Help Table'!$A702,";","")))=1,LEN('Special Help Table'!$A702)-LEN(SUBSTITUTE('Special Help Table'!$A702,"and ",""))=0),MID('Special Help Table'!$A702,SEARCH(",",'Special Help Table'!$A702)+1,(SEARCH(";",'Special Help Table'!$A702)-1)-SEARCH(",",'Special Help Table'!$A702))&amp;" "&amp;LEFT('Special Help Table'!$A702,SEARCH(",",'Special Help Table'!$A702)-1)&amp;";"&amp;RIGHT('Special Help Table'!$A702,LEN('Special Help Table'!$A702)-SEARCH(",",'Special Help Table'!$A702,SEARCH(";",'Special Help Table'!$A702)))&amp;" "&amp;MID('Special Help Table'!$A702,SEARCH("; ",'Special Help Table'!$A702)+2,SEARCH(",",'Special Help Table'!$A702,SEARCH(";",'Special Help Table'!$A702))-SEARCH(";",'Special Help Table'!$A702)-2),AND(LEN('Special Help Table'!$A702)-LEN(SUBSTITUTE('Special Help Table'!$A702,"and ",""))=0,LEN('Special Help Table'!$A702)-LEN(SUBSTITUTE('Special Help Table'!$A702,";",""))=0),'Special Help Table'!$A702,AND(LEN('Special Help Table'!$A702)-LEN(SUBSTITUTE('Special Help Table'!$A702,",","")=1),LEN('Special Help Table'!$A702)-LEN(SUBSTITUTE('Special Help Table'!$A702," ","")=20),LEN('Special Help Table'!$A702)-LEN(SUBSTITUTE('Special Help Table'!$A702," and",""))=0,LEN('Special Help Table'!$A702)-LEN(SUBSTITUTE('Special Help Table'!$A702,",","",FIND(" ",'Special Help Table'!$A702)+1))=0),RIGHT('Special Help Table'!$A702,LEN('Special Help Table'!$A702)-FIND(", ",'Special Help Table'!$A702))&amp;" "&amp;LEFT('Special Help Table'!$A702,FIND(",",'Special Help Table'!$A702)-1),AND(LEN('Special Help Table'!$A702)-LEN(SUBSTITUTE('Special Help Table'!$A702,"editor",""))=6,LEN('Special Help Table'!$A702)-LEN(SUBSTITUTE('Special Help Table'!$A702,"(",""))=0,LEN('Special Help Table'!$A702)-LEN(SUBSTITUTE('Special Help Table'!$A702,"and",""))=3,LEN('Special Help Table'!$A702)-LEN(SUBSTITUTE('Special Help Table'!$A702,",",""))=1,LEN('Special Help Table'!$A702)-LEN(SUBSTITUTE('Special Help Table'!$A702," ",""))=3),'Special Help Table'!$A702)</f>
        <v xml:space="preserve"> Helen L Taylor</v>
      </c>
      <c r="C702" s="4" t="s">
        <v>1300</v>
      </c>
      <c r="D702" s="2"/>
      <c r="E702" s="2" t="s">
        <v>16</v>
      </c>
      <c r="F702" s="2" t="s">
        <v>72</v>
      </c>
      <c r="G702" s="2"/>
      <c r="H702" s="2"/>
      <c r="I702" s="2"/>
      <c r="J702" s="2"/>
      <c r="K702" s="3">
        <v>41011</v>
      </c>
      <c r="L702" s="2"/>
      <c r="M702" s="2"/>
      <c r="N702" s="2" t="s">
        <v>18</v>
      </c>
    </row>
    <row r="703" spans="1:14" ht="15.75" customHeight="1" x14ac:dyDescent="0.35">
      <c r="A703" s="2" t="s">
        <v>1301</v>
      </c>
      <c r="B703" s="2" t="str" cm="1">
        <f t="array" ref="B703">_xlfn.IFS(AND(LEN('Special Help Table'!$A703)-(LEN(SUBSTITUTE('Special Help Table'!$A703,";","")))=0,LEN('Special Help Table'!$A703)-LEN(SUBSTITUTE('Special Help Table'!$A703,",",""))=1,LEN('Special Help Table'!$A703)-LEN(SUBSTITUTE('Special Help Table'!$A703,"and ",""))=0),MID('Special Help Table'!$A703&amp;" "&amp;'Special Help Table'!$A703,SEARCH(", ",'Special Help Table'!$A703)+1,LEN('Special Help Table'!$A703)),AND(LEN('Special Help Table'!$A703)-(LEN(SUBSTITUTE('Special Help Table'!$A703,";","")))=1,LEN('Special Help Table'!$A703)-LEN(SUBSTITUTE('Special Help Table'!$A703,"and ",""))=0),MID('Special Help Table'!$A703,SEARCH(",",'Special Help Table'!$A703)+1,(SEARCH(";",'Special Help Table'!$A703)-1)-SEARCH(",",'Special Help Table'!$A703))&amp;" "&amp;LEFT('Special Help Table'!$A703,SEARCH(",",'Special Help Table'!$A703)-1)&amp;";"&amp;RIGHT('Special Help Table'!$A703,LEN('Special Help Table'!$A703)-SEARCH(",",'Special Help Table'!$A703,SEARCH(";",'Special Help Table'!$A703)))&amp;" "&amp;MID('Special Help Table'!$A703,SEARCH("; ",'Special Help Table'!$A703)+2,SEARCH(",",'Special Help Table'!$A703,SEARCH(";",'Special Help Table'!$A703))-SEARCH(";",'Special Help Table'!$A703)-2),AND(LEN('Special Help Table'!$A703)-LEN(SUBSTITUTE('Special Help Table'!$A703,"and ",""))=0,LEN('Special Help Table'!$A703)-LEN(SUBSTITUTE('Special Help Table'!$A703,";",""))=0),'Special Help Table'!$A703,AND(LEN('Special Help Table'!$A703)-LEN(SUBSTITUTE('Special Help Table'!$A703,",","")=1),LEN('Special Help Table'!$A703)-LEN(SUBSTITUTE('Special Help Table'!$A703," ","")=20),LEN('Special Help Table'!$A703)-LEN(SUBSTITUTE('Special Help Table'!$A703," and",""))=0,LEN('Special Help Table'!$A703)-LEN(SUBSTITUTE('Special Help Table'!$A703,",","",FIND(" ",'Special Help Table'!$A703)+1))=0),RIGHT('Special Help Table'!$A703,LEN('Special Help Table'!$A703)-FIND(", ",'Special Help Table'!$A703))&amp;" "&amp;LEFT('Special Help Table'!$A703,FIND(",",'Special Help Table'!$A703)-1),AND(LEN('Special Help Table'!$A703)-LEN(SUBSTITUTE('Special Help Table'!$A703,"editor",""))=6,LEN('Special Help Table'!$A703)-LEN(SUBSTITUTE('Special Help Table'!$A703,"(",""))=0,LEN('Special Help Table'!$A703)-LEN(SUBSTITUTE('Special Help Table'!$A703,"and",""))=3,LEN('Special Help Table'!$A703)-LEN(SUBSTITUTE('Special Help Table'!$A703,",",""))=1,LEN('Special Help Table'!$A703)-LEN(SUBSTITUTE('Special Help Table'!$A703," ",""))=3),'Special Help Table'!$A703)</f>
        <v xml:space="preserve"> J. Hudson Taylor</v>
      </c>
      <c r="C703" s="4" t="s">
        <v>1302</v>
      </c>
      <c r="D703" s="2"/>
      <c r="E703" s="2" t="s">
        <v>16</v>
      </c>
      <c r="F703" s="2" t="s">
        <v>39</v>
      </c>
      <c r="G703" s="2"/>
      <c r="H703" s="2"/>
      <c r="I703" s="2"/>
      <c r="J703" s="2" t="s">
        <v>59</v>
      </c>
      <c r="K703" s="3">
        <v>40052</v>
      </c>
      <c r="L703" s="2"/>
      <c r="M703" s="2"/>
      <c r="N703" s="2" t="s">
        <v>18</v>
      </c>
    </row>
    <row r="704" spans="1:14" ht="15.75" customHeight="1" x14ac:dyDescent="0.35">
      <c r="A704" s="2" t="s">
        <v>1303</v>
      </c>
      <c r="B704" s="2" t="str" cm="1">
        <f t="array" ref="B704">_xlfn.IFS(AND(LEN('Special Help Table'!$A704)-(LEN(SUBSTITUTE('Special Help Table'!$A704,";","")))=0,LEN('Special Help Table'!$A704)-LEN(SUBSTITUTE('Special Help Table'!$A704,",",""))=1,LEN('Special Help Table'!$A704)-LEN(SUBSTITUTE('Special Help Table'!$A704,"and ",""))=0),MID('Special Help Table'!$A704&amp;" "&amp;'Special Help Table'!$A704,SEARCH(", ",'Special Help Table'!$A704)+1,LEN('Special Help Table'!$A704)),AND(LEN('Special Help Table'!$A704)-(LEN(SUBSTITUTE('Special Help Table'!$A704,";","")))=1,LEN('Special Help Table'!$A704)-LEN(SUBSTITUTE('Special Help Table'!$A704,"and ",""))=0),MID('Special Help Table'!$A704,SEARCH(",",'Special Help Table'!$A704)+1,(SEARCH(";",'Special Help Table'!$A704)-1)-SEARCH(",",'Special Help Table'!$A704))&amp;" "&amp;LEFT('Special Help Table'!$A704,SEARCH(",",'Special Help Table'!$A704)-1)&amp;";"&amp;RIGHT('Special Help Table'!$A704,LEN('Special Help Table'!$A704)-SEARCH(",",'Special Help Table'!$A704,SEARCH(";",'Special Help Table'!$A704)))&amp;" "&amp;MID('Special Help Table'!$A704,SEARCH("; ",'Special Help Table'!$A704)+2,SEARCH(",",'Special Help Table'!$A704,SEARCH(";",'Special Help Table'!$A704))-SEARCH(";",'Special Help Table'!$A704)-2),AND(LEN('Special Help Table'!$A704)-LEN(SUBSTITUTE('Special Help Table'!$A704,"and ",""))=0,LEN('Special Help Table'!$A704)-LEN(SUBSTITUTE('Special Help Table'!$A704,";",""))=0),'Special Help Table'!$A704,AND(LEN('Special Help Table'!$A704)-LEN(SUBSTITUTE('Special Help Table'!$A704,",","")=1),LEN('Special Help Table'!$A704)-LEN(SUBSTITUTE('Special Help Table'!$A704," ","")=20),LEN('Special Help Table'!$A704)-LEN(SUBSTITUTE('Special Help Table'!$A704," and",""))=0,LEN('Special Help Table'!$A704)-LEN(SUBSTITUTE('Special Help Table'!$A704,",","",FIND(" ",'Special Help Table'!$A704)+1))=0),RIGHT('Special Help Table'!$A704,LEN('Special Help Table'!$A704)-FIND(", ",'Special Help Table'!$A704))&amp;" "&amp;LEFT('Special Help Table'!$A704,FIND(",",'Special Help Table'!$A704)-1),AND(LEN('Special Help Table'!$A704)-LEN(SUBSTITUTE('Special Help Table'!$A704,"editor",""))=6,LEN('Special Help Table'!$A704)-LEN(SUBSTITUTE('Special Help Table'!$A704,"(",""))=0,LEN('Special Help Table'!$A704)-LEN(SUBSTITUTE('Special Help Table'!$A704,"and",""))=3,LEN('Special Help Table'!$A704)-LEN(SUBSTITUTE('Special Help Table'!$A704,",",""))=1,LEN('Special Help Table'!$A704)-LEN(SUBSTITUTE('Special Help Table'!$A704," ",""))=3),'Special Help Table'!$A704)</f>
        <v xml:space="preserve"> Kenneth N. Taylor</v>
      </c>
      <c r="C704" s="4" t="s">
        <v>1304</v>
      </c>
      <c r="D704" s="2"/>
      <c r="E704" s="2" t="s">
        <v>16</v>
      </c>
      <c r="F704" s="2" t="s">
        <v>72</v>
      </c>
      <c r="G704" s="2"/>
      <c r="H704" s="2"/>
      <c r="I704" s="2"/>
      <c r="J704" s="2"/>
      <c r="K704" s="3">
        <v>42231</v>
      </c>
      <c r="L704" s="2" t="s">
        <v>331</v>
      </c>
      <c r="M704" s="2"/>
      <c r="N704" s="2" t="s">
        <v>18</v>
      </c>
    </row>
    <row r="705" spans="1:14" ht="15.75" customHeight="1" x14ac:dyDescent="0.35">
      <c r="A705" s="2" t="s">
        <v>1305</v>
      </c>
      <c r="B705" s="2" t="str" cm="1">
        <f t="array" ref="B705">_xlfn.IFS(AND(LEN('Special Help Table'!$A705)-(LEN(SUBSTITUTE('Special Help Table'!$A705,";","")))=0,LEN('Special Help Table'!$A705)-LEN(SUBSTITUTE('Special Help Table'!$A705,",",""))=1,LEN('Special Help Table'!$A705)-LEN(SUBSTITUTE('Special Help Table'!$A705,"and ",""))=0),MID('Special Help Table'!$A705&amp;" "&amp;'Special Help Table'!$A705,SEARCH(", ",'Special Help Table'!$A705)+1,LEN('Special Help Table'!$A705)),AND(LEN('Special Help Table'!$A705)-(LEN(SUBSTITUTE('Special Help Table'!$A705,";","")))=1,LEN('Special Help Table'!$A705)-LEN(SUBSTITUTE('Special Help Table'!$A705,"and ",""))=0),MID('Special Help Table'!$A705,SEARCH(",",'Special Help Table'!$A705)+1,(SEARCH(";",'Special Help Table'!$A705)-1)-SEARCH(",",'Special Help Table'!$A705))&amp;" "&amp;LEFT('Special Help Table'!$A705,SEARCH(",",'Special Help Table'!$A705)-1)&amp;";"&amp;RIGHT('Special Help Table'!$A705,LEN('Special Help Table'!$A705)-SEARCH(",",'Special Help Table'!$A705,SEARCH(";",'Special Help Table'!$A705)))&amp;" "&amp;MID('Special Help Table'!$A705,SEARCH("; ",'Special Help Table'!$A705)+2,SEARCH(",",'Special Help Table'!$A705,SEARCH(";",'Special Help Table'!$A705))-SEARCH(";",'Special Help Table'!$A705)-2),AND(LEN('Special Help Table'!$A705)-LEN(SUBSTITUTE('Special Help Table'!$A705,"and ",""))=0,LEN('Special Help Table'!$A705)-LEN(SUBSTITUTE('Special Help Table'!$A705,";",""))=0),'Special Help Table'!$A705,AND(LEN('Special Help Table'!$A705)-LEN(SUBSTITUTE('Special Help Table'!$A705,",","")=1),LEN('Special Help Table'!$A705)-LEN(SUBSTITUTE('Special Help Table'!$A705," ","")=20),LEN('Special Help Table'!$A705)-LEN(SUBSTITUTE('Special Help Table'!$A705," and",""))=0,LEN('Special Help Table'!$A705)-LEN(SUBSTITUTE('Special Help Table'!$A705,",","",FIND(" ",'Special Help Table'!$A705)+1))=0),RIGHT('Special Help Table'!$A705,LEN('Special Help Table'!$A705)-FIND(", ",'Special Help Table'!$A705))&amp;" "&amp;LEFT('Special Help Table'!$A705,FIND(",",'Special Help Table'!$A705)-1),AND(LEN('Special Help Table'!$A705)-LEN(SUBSTITUTE('Special Help Table'!$A705,"editor",""))=6,LEN('Special Help Table'!$A705)-LEN(SUBSTITUTE('Special Help Table'!$A705,"(",""))=0,LEN('Special Help Table'!$A705)-LEN(SUBSTITUTE('Special Help Table'!$A705,"and",""))=3,LEN('Special Help Table'!$A705)-LEN(SUBSTITUTE('Special Help Table'!$A705,",",""))=1,LEN('Special Help Table'!$A705)-LEN(SUBSTITUTE('Special Help Table'!$A705," ",""))=3),'Special Help Table'!$A705)</f>
        <v xml:space="preserve"> Mrs. Howard Taylor</v>
      </c>
      <c r="C705" s="4" t="s">
        <v>1306</v>
      </c>
      <c r="D705" s="2"/>
      <c r="E705" s="2" t="s">
        <v>16</v>
      </c>
      <c r="F705" s="2" t="s">
        <v>39</v>
      </c>
      <c r="G705" s="2"/>
      <c r="H705" s="2"/>
      <c r="I705" s="2"/>
      <c r="J705" s="2"/>
      <c r="K705" s="3">
        <v>39934</v>
      </c>
      <c r="L705" s="2"/>
      <c r="M705" s="2"/>
      <c r="N705" s="2" t="s">
        <v>18</v>
      </c>
    </row>
    <row r="706" spans="1:14" ht="15.75" customHeight="1" x14ac:dyDescent="0.35">
      <c r="A706" s="2" t="s">
        <v>1307</v>
      </c>
      <c r="B706" s="2" t="str" cm="1">
        <f t="array" ref="B706">_xlfn.IFS(AND(LEN('Special Help Table'!$A706)-(LEN(SUBSTITUTE('Special Help Table'!$A706,";","")))=0,LEN('Special Help Table'!$A706)-LEN(SUBSTITUTE('Special Help Table'!$A706,",",""))=1,LEN('Special Help Table'!$A706)-LEN(SUBSTITUTE('Special Help Table'!$A706,"and ",""))=0),MID('Special Help Table'!$A706&amp;" "&amp;'Special Help Table'!$A706,SEARCH(", ",'Special Help Table'!$A706)+1,LEN('Special Help Table'!$A706)),AND(LEN('Special Help Table'!$A706)-(LEN(SUBSTITUTE('Special Help Table'!$A706,";","")))=1,LEN('Special Help Table'!$A706)-LEN(SUBSTITUTE('Special Help Table'!$A706,"and ",""))=0),MID('Special Help Table'!$A706,SEARCH(",",'Special Help Table'!$A706)+1,(SEARCH(";",'Special Help Table'!$A706)-1)-SEARCH(",",'Special Help Table'!$A706))&amp;" "&amp;LEFT('Special Help Table'!$A706,SEARCH(",",'Special Help Table'!$A706)-1)&amp;";"&amp;RIGHT('Special Help Table'!$A706,LEN('Special Help Table'!$A706)-SEARCH(",",'Special Help Table'!$A706,SEARCH(";",'Special Help Table'!$A706)))&amp;" "&amp;MID('Special Help Table'!$A706,SEARCH("; ",'Special Help Table'!$A706)+2,SEARCH(",",'Special Help Table'!$A706,SEARCH(";",'Special Help Table'!$A706))-SEARCH(";",'Special Help Table'!$A706)-2),AND(LEN('Special Help Table'!$A706)-LEN(SUBSTITUTE('Special Help Table'!$A706,"and ",""))=0,LEN('Special Help Table'!$A706)-LEN(SUBSTITUTE('Special Help Table'!$A706,";",""))=0),'Special Help Table'!$A706,AND(LEN('Special Help Table'!$A706)-LEN(SUBSTITUTE('Special Help Table'!$A706,",","")=1),LEN('Special Help Table'!$A706)-LEN(SUBSTITUTE('Special Help Table'!$A706," ","")=20),LEN('Special Help Table'!$A706)-LEN(SUBSTITUTE('Special Help Table'!$A706," and",""))=0,LEN('Special Help Table'!$A706)-LEN(SUBSTITUTE('Special Help Table'!$A706,",","",FIND(" ",'Special Help Table'!$A706)+1))=0),RIGHT('Special Help Table'!$A706,LEN('Special Help Table'!$A706)-FIND(", ",'Special Help Table'!$A706))&amp;" "&amp;LEFT('Special Help Table'!$A706,FIND(",",'Special Help Table'!$A706)-1),AND(LEN('Special Help Table'!$A706)-LEN(SUBSTITUTE('Special Help Table'!$A706,"editor",""))=6,LEN('Special Help Table'!$A706)-LEN(SUBSTITUTE('Special Help Table'!$A706,"(",""))=0,LEN('Special Help Table'!$A706)-LEN(SUBSTITUTE('Special Help Table'!$A706,"and",""))=3,LEN('Special Help Table'!$A706)-LEN(SUBSTITUTE('Special Help Table'!$A706,",",""))=1,LEN('Special Help Table'!$A706)-LEN(SUBSTITUTE('Special Help Table'!$A706," ",""))=3),'Special Help Table'!$A706)</f>
        <v xml:space="preserve"> Corrie Ten Boom</v>
      </c>
      <c r="C706" s="4" t="s">
        <v>1308</v>
      </c>
      <c r="D706" s="2"/>
      <c r="E706" s="2" t="s">
        <v>16</v>
      </c>
      <c r="F706" s="2" t="s">
        <v>39</v>
      </c>
      <c r="G706" s="2"/>
      <c r="H706" s="2"/>
      <c r="I706" s="2"/>
      <c r="J706" s="2" t="s">
        <v>188</v>
      </c>
      <c r="K706" s="3">
        <v>40053</v>
      </c>
      <c r="L706" s="2"/>
      <c r="M706" s="2"/>
      <c r="N706" s="2" t="s">
        <v>18</v>
      </c>
    </row>
    <row r="707" spans="1:14" ht="15.75" customHeight="1" x14ac:dyDescent="0.35">
      <c r="A707" s="2" t="s">
        <v>1309</v>
      </c>
      <c r="B707" s="2" t="str" cm="1">
        <f t="array" ref="B707">_xlfn.IFS(AND(LEN('Special Help Table'!$A707)-(LEN(SUBSTITUTE('Special Help Table'!$A707,";","")))=0,LEN('Special Help Table'!$A707)-LEN(SUBSTITUTE('Special Help Table'!$A707,",",""))=1,LEN('Special Help Table'!$A707)-LEN(SUBSTITUTE('Special Help Table'!$A707,"and ",""))=0),MID('Special Help Table'!$A707&amp;" "&amp;'Special Help Table'!$A707,SEARCH(", ",'Special Help Table'!$A707)+1,LEN('Special Help Table'!$A707)),AND(LEN('Special Help Table'!$A707)-(LEN(SUBSTITUTE('Special Help Table'!$A707,";","")))=1,LEN('Special Help Table'!$A707)-LEN(SUBSTITUTE('Special Help Table'!$A707,"and ",""))=0),MID('Special Help Table'!$A707,SEARCH(",",'Special Help Table'!$A707)+1,(SEARCH(";",'Special Help Table'!$A707)-1)-SEARCH(",",'Special Help Table'!$A707))&amp;" "&amp;LEFT('Special Help Table'!$A707,SEARCH(",",'Special Help Table'!$A707)-1)&amp;";"&amp;RIGHT('Special Help Table'!$A707,LEN('Special Help Table'!$A707)-SEARCH(",",'Special Help Table'!$A707,SEARCH(";",'Special Help Table'!$A707)))&amp;" "&amp;MID('Special Help Table'!$A707,SEARCH("; ",'Special Help Table'!$A707)+2,SEARCH(",",'Special Help Table'!$A707,SEARCH(";",'Special Help Table'!$A707))-SEARCH(";",'Special Help Table'!$A707)-2),AND(LEN('Special Help Table'!$A707)-LEN(SUBSTITUTE('Special Help Table'!$A707,"and ",""))=0,LEN('Special Help Table'!$A707)-LEN(SUBSTITUTE('Special Help Table'!$A707,";",""))=0),'Special Help Table'!$A707,AND(LEN('Special Help Table'!$A707)-LEN(SUBSTITUTE('Special Help Table'!$A707,",","")=1),LEN('Special Help Table'!$A707)-LEN(SUBSTITUTE('Special Help Table'!$A707," ","")=20),LEN('Special Help Table'!$A707)-LEN(SUBSTITUTE('Special Help Table'!$A707," and",""))=0,LEN('Special Help Table'!$A707)-LEN(SUBSTITUTE('Special Help Table'!$A707,",","",FIND(" ",'Special Help Table'!$A707)+1))=0),RIGHT('Special Help Table'!$A707,LEN('Special Help Table'!$A707)-FIND(", ",'Special Help Table'!$A707))&amp;" "&amp;LEFT('Special Help Table'!$A707,FIND(",",'Special Help Table'!$A707)-1),AND(LEN('Special Help Table'!$A707)-LEN(SUBSTITUTE('Special Help Table'!$A707,"editor",""))=6,LEN('Special Help Table'!$A707)-LEN(SUBSTITUTE('Special Help Table'!$A707,"(",""))=0,LEN('Special Help Table'!$A707)-LEN(SUBSTITUTE('Special Help Table'!$A707,"and",""))=3,LEN('Special Help Table'!$A707)-LEN(SUBSTITUTE('Special Help Table'!$A707,",",""))=1,LEN('Special Help Table'!$A707)-LEN(SUBSTITUTE('Special Help Table'!$A707," ",""))=3),'Special Help Table'!$A707)</f>
        <v xml:space="preserve"> Derek W. H. Thomas</v>
      </c>
      <c r="C707" s="4" t="s">
        <v>1310</v>
      </c>
      <c r="D707" s="2"/>
      <c r="E707" s="2" t="s">
        <v>16</v>
      </c>
      <c r="F707" s="2" t="s">
        <v>28</v>
      </c>
      <c r="G707" s="2"/>
      <c r="H707" s="2"/>
      <c r="I707" s="2"/>
      <c r="J707" s="2" t="s">
        <v>449</v>
      </c>
      <c r="K707" s="3">
        <v>41804</v>
      </c>
      <c r="L707" s="2"/>
      <c r="M707" s="2"/>
      <c r="N707" s="2" t="s">
        <v>18</v>
      </c>
    </row>
    <row r="708" spans="1:14" ht="15.75" customHeight="1" x14ac:dyDescent="0.35">
      <c r="A708" s="2" t="s">
        <v>1311</v>
      </c>
      <c r="B708" s="2" t="str" cm="1">
        <f t="array" ref="B708">_xlfn.IFS(AND(LEN('Special Help Table'!$A708)-(LEN(SUBSTITUTE('Special Help Table'!$A708,";","")))=0,LEN('Special Help Table'!$A708)-LEN(SUBSTITUTE('Special Help Table'!$A708,",",""))=1,LEN('Special Help Table'!$A708)-LEN(SUBSTITUTE('Special Help Table'!$A708,"and ",""))=0),MID('Special Help Table'!$A708&amp;" "&amp;'Special Help Table'!$A708,SEARCH(", ",'Special Help Table'!$A708)+1,LEN('Special Help Table'!$A708)),AND(LEN('Special Help Table'!$A708)-(LEN(SUBSTITUTE('Special Help Table'!$A708,";","")))=1,LEN('Special Help Table'!$A708)-LEN(SUBSTITUTE('Special Help Table'!$A708,"and ",""))=0),MID('Special Help Table'!$A708,SEARCH(",",'Special Help Table'!$A708)+1,(SEARCH(";",'Special Help Table'!$A708)-1)-SEARCH(",",'Special Help Table'!$A708))&amp;" "&amp;LEFT('Special Help Table'!$A708,SEARCH(",",'Special Help Table'!$A708)-1)&amp;";"&amp;RIGHT('Special Help Table'!$A708,LEN('Special Help Table'!$A708)-SEARCH(",",'Special Help Table'!$A708,SEARCH(";",'Special Help Table'!$A708)))&amp;" "&amp;MID('Special Help Table'!$A708,SEARCH("; ",'Special Help Table'!$A708)+2,SEARCH(",",'Special Help Table'!$A708,SEARCH(";",'Special Help Table'!$A708))-SEARCH(";",'Special Help Table'!$A708)-2),AND(LEN('Special Help Table'!$A708)-LEN(SUBSTITUTE('Special Help Table'!$A708,"and ",""))=0,LEN('Special Help Table'!$A708)-LEN(SUBSTITUTE('Special Help Table'!$A708,";",""))=0),'Special Help Table'!$A708,AND(LEN('Special Help Table'!$A708)-LEN(SUBSTITUTE('Special Help Table'!$A708,",","")=1),LEN('Special Help Table'!$A708)-LEN(SUBSTITUTE('Special Help Table'!$A708," ","")=20),LEN('Special Help Table'!$A708)-LEN(SUBSTITUTE('Special Help Table'!$A708," and",""))=0,LEN('Special Help Table'!$A708)-LEN(SUBSTITUTE('Special Help Table'!$A708,",","",FIND(" ",'Special Help Table'!$A708)+1))=0),RIGHT('Special Help Table'!$A708,LEN('Special Help Table'!$A708)-FIND(", ",'Special Help Table'!$A708))&amp;" "&amp;LEFT('Special Help Table'!$A708,FIND(",",'Special Help Table'!$A708)-1),AND(LEN('Special Help Table'!$A708)-LEN(SUBSTITUTE('Special Help Table'!$A708,"editor",""))=6,LEN('Special Help Table'!$A708)-LEN(SUBSTITUTE('Special Help Table'!$A708,"(",""))=0,LEN('Special Help Table'!$A708)-LEN(SUBSTITUTE('Special Help Table'!$A708,"and",""))=3,LEN('Special Help Table'!$A708)-LEN(SUBSTITUTE('Special Help Table'!$A708,",",""))=1,LEN('Special Help Table'!$A708)-LEN(SUBSTITUTE('Special Help Table'!$A708," ",""))=3),'Special Help Table'!$A708)</f>
        <v xml:space="preserve"> Robert L Thomas</v>
      </c>
      <c r="C708" s="4" t="s">
        <v>1312</v>
      </c>
      <c r="D708" s="2"/>
      <c r="E708" s="2" t="s">
        <v>16</v>
      </c>
      <c r="F708" s="2" t="s">
        <v>76</v>
      </c>
      <c r="G708" s="2" t="s">
        <v>28</v>
      </c>
      <c r="H708" s="2"/>
      <c r="I708" s="2"/>
      <c r="J708" s="2"/>
      <c r="K708" s="3">
        <v>40766</v>
      </c>
      <c r="L708" s="2"/>
      <c r="M708" s="2"/>
      <c r="N708" s="2" t="s">
        <v>18</v>
      </c>
    </row>
    <row r="709" spans="1:14" ht="15.75" customHeight="1" x14ac:dyDescent="0.35">
      <c r="A709" s="2" t="s">
        <v>1313</v>
      </c>
      <c r="B709" s="2" t="str" cm="1">
        <f t="array" ref="B709">_xlfn.IFS(AND(LEN('Special Help Table'!$A709)-(LEN(SUBSTITUTE('Special Help Table'!$A709,";","")))=0,LEN('Special Help Table'!$A709)-LEN(SUBSTITUTE('Special Help Table'!$A709,",",""))=1,LEN('Special Help Table'!$A709)-LEN(SUBSTITUTE('Special Help Table'!$A709,"and ",""))=0),MID('Special Help Table'!$A709&amp;" "&amp;'Special Help Table'!$A709,SEARCH(", ",'Special Help Table'!$A709)+1,LEN('Special Help Table'!$A709)),AND(LEN('Special Help Table'!$A709)-(LEN(SUBSTITUTE('Special Help Table'!$A709,";","")))=1,LEN('Special Help Table'!$A709)-LEN(SUBSTITUTE('Special Help Table'!$A709,"and ",""))=0),MID('Special Help Table'!$A709,SEARCH(",",'Special Help Table'!$A709)+1,(SEARCH(";",'Special Help Table'!$A709)-1)-SEARCH(",",'Special Help Table'!$A709))&amp;" "&amp;LEFT('Special Help Table'!$A709,SEARCH(",",'Special Help Table'!$A709)-1)&amp;";"&amp;RIGHT('Special Help Table'!$A709,LEN('Special Help Table'!$A709)-SEARCH(",",'Special Help Table'!$A709,SEARCH(";",'Special Help Table'!$A709)))&amp;" "&amp;MID('Special Help Table'!$A709,SEARCH("; ",'Special Help Table'!$A709)+2,SEARCH(",",'Special Help Table'!$A709,SEARCH(";",'Special Help Table'!$A709))-SEARCH(";",'Special Help Table'!$A709)-2),AND(LEN('Special Help Table'!$A709)-LEN(SUBSTITUTE('Special Help Table'!$A709,"and ",""))=0,LEN('Special Help Table'!$A709)-LEN(SUBSTITUTE('Special Help Table'!$A709,";",""))=0),'Special Help Table'!$A709,AND(LEN('Special Help Table'!$A709)-LEN(SUBSTITUTE('Special Help Table'!$A709,",","")=1),LEN('Special Help Table'!$A709)-LEN(SUBSTITUTE('Special Help Table'!$A709," ","")=20),LEN('Special Help Table'!$A709)-LEN(SUBSTITUTE('Special Help Table'!$A709," and",""))=0,LEN('Special Help Table'!$A709)-LEN(SUBSTITUTE('Special Help Table'!$A709,",","",FIND(" ",'Special Help Table'!$A709)+1))=0),RIGHT('Special Help Table'!$A709,LEN('Special Help Table'!$A709)-FIND(", ",'Special Help Table'!$A709))&amp;" "&amp;LEFT('Special Help Table'!$A709,FIND(",",'Special Help Table'!$A709)-1),AND(LEN('Special Help Table'!$A709)-LEN(SUBSTITUTE('Special Help Table'!$A709,"editor",""))=6,LEN('Special Help Table'!$A709)-LEN(SUBSTITUTE('Special Help Table'!$A709,"(",""))=0,LEN('Special Help Table'!$A709)-LEN(SUBSTITUTE('Special Help Table'!$A709,"and",""))=3,LEN('Special Help Table'!$A709)-LEN(SUBSTITUTE('Special Help Table'!$A709,",",""))=1,LEN('Special Help Table'!$A709)-LEN(SUBSTITUTE('Special Help Table'!$A709," ",""))=3),'Special Help Table'!$A709)</f>
        <v xml:space="preserve"> Jim Thompson</v>
      </c>
      <c r="C709" s="4" t="s">
        <v>1314</v>
      </c>
      <c r="D709" s="2"/>
      <c r="E709" s="2" t="s">
        <v>16</v>
      </c>
      <c r="F709" s="2" t="s">
        <v>28</v>
      </c>
      <c r="G709" s="2"/>
      <c r="H709" s="2"/>
      <c r="I709" s="2"/>
      <c r="J709" s="2" t="s">
        <v>1315</v>
      </c>
      <c r="K709" s="3">
        <v>41072</v>
      </c>
      <c r="L709" s="2"/>
      <c r="M709" s="2"/>
      <c r="N709" s="2" t="s">
        <v>18</v>
      </c>
    </row>
    <row r="710" spans="1:14" ht="15.75" customHeight="1" x14ac:dyDescent="0.35">
      <c r="A710" s="2" t="s">
        <v>1316</v>
      </c>
      <c r="B710" s="2" t="str" cm="1">
        <f t="array" ref="B710">_xlfn.IFS(AND(LEN('Special Help Table'!$A710)-(LEN(SUBSTITUTE('Special Help Table'!$A710,";","")))=0,LEN('Special Help Table'!$A710)-LEN(SUBSTITUTE('Special Help Table'!$A710,",",""))=1,LEN('Special Help Table'!$A710)-LEN(SUBSTITUTE('Special Help Table'!$A710,"and ",""))=0),MID('Special Help Table'!$A710&amp;" "&amp;'Special Help Table'!$A710,SEARCH(", ",'Special Help Table'!$A710)+1,LEN('Special Help Table'!$A710)),AND(LEN('Special Help Table'!$A710)-(LEN(SUBSTITUTE('Special Help Table'!$A710,";","")))=1,LEN('Special Help Table'!$A710)-LEN(SUBSTITUTE('Special Help Table'!$A710,"and ",""))=0),MID('Special Help Table'!$A710,SEARCH(",",'Special Help Table'!$A710)+1,(SEARCH(";",'Special Help Table'!$A710)-1)-SEARCH(",",'Special Help Table'!$A710))&amp;" "&amp;LEFT('Special Help Table'!$A710,SEARCH(",",'Special Help Table'!$A710)-1)&amp;";"&amp;RIGHT('Special Help Table'!$A710,LEN('Special Help Table'!$A710)-SEARCH(",",'Special Help Table'!$A710,SEARCH(";",'Special Help Table'!$A710)))&amp;" "&amp;MID('Special Help Table'!$A710,SEARCH("; ",'Special Help Table'!$A710)+2,SEARCH(",",'Special Help Table'!$A710,SEARCH(";",'Special Help Table'!$A710))-SEARCH(";",'Special Help Table'!$A710)-2),AND(LEN('Special Help Table'!$A710)-LEN(SUBSTITUTE('Special Help Table'!$A710,"and ",""))=0,LEN('Special Help Table'!$A710)-LEN(SUBSTITUTE('Special Help Table'!$A710,";",""))=0),'Special Help Table'!$A710,AND(LEN('Special Help Table'!$A710)-LEN(SUBSTITUTE('Special Help Table'!$A710,",","")=1),LEN('Special Help Table'!$A710)-LEN(SUBSTITUTE('Special Help Table'!$A710," ","")=20),LEN('Special Help Table'!$A710)-LEN(SUBSTITUTE('Special Help Table'!$A710," and",""))=0,LEN('Special Help Table'!$A710)-LEN(SUBSTITUTE('Special Help Table'!$A710,",","",FIND(" ",'Special Help Table'!$A710)+1))=0),RIGHT('Special Help Table'!$A710,LEN('Special Help Table'!$A710)-FIND(", ",'Special Help Table'!$A710))&amp;" "&amp;LEFT('Special Help Table'!$A710,FIND(",",'Special Help Table'!$A710)-1),AND(LEN('Special Help Table'!$A710)-LEN(SUBSTITUTE('Special Help Table'!$A710,"editor",""))=6,LEN('Special Help Table'!$A710)-LEN(SUBSTITUTE('Special Help Table'!$A710,"(",""))=0,LEN('Special Help Table'!$A710)-LEN(SUBSTITUTE('Special Help Table'!$A710,"and",""))=3,LEN('Special Help Table'!$A710)-LEN(SUBSTITUTE('Special Help Table'!$A710,",",""))=1,LEN('Special Help Table'!$A710)-LEN(SUBSTITUTE('Special Help Table'!$A710," ",""))=3),'Special Help Table'!$A710)</f>
        <v xml:space="preserve"> Champ Thornton</v>
      </c>
      <c r="C710" s="4" t="s">
        <v>1317</v>
      </c>
      <c r="D710" s="2"/>
      <c r="E710" s="2" t="s">
        <v>16</v>
      </c>
      <c r="F710" s="2" t="s">
        <v>72</v>
      </c>
      <c r="G710" s="2"/>
      <c r="H710" s="2"/>
      <c r="I710" s="2"/>
      <c r="J710" s="2"/>
      <c r="K710" s="3">
        <v>42694</v>
      </c>
      <c r="L710" s="2"/>
      <c r="M710" s="2"/>
      <c r="N710" s="2" t="s">
        <v>18</v>
      </c>
    </row>
    <row r="711" spans="1:14" ht="15.75" customHeight="1" x14ac:dyDescent="0.35">
      <c r="A711" s="2" t="s">
        <v>1316</v>
      </c>
      <c r="B711" s="2" t="str" cm="1">
        <f t="array" ref="B711">_xlfn.IFS(AND(LEN('Special Help Table'!$A711)-(LEN(SUBSTITUTE('Special Help Table'!$A711,";","")))=0,LEN('Special Help Table'!$A711)-LEN(SUBSTITUTE('Special Help Table'!$A711,",",""))=1,LEN('Special Help Table'!$A711)-LEN(SUBSTITUTE('Special Help Table'!$A711,"and ",""))=0),MID('Special Help Table'!$A711&amp;" "&amp;'Special Help Table'!$A711,SEARCH(", ",'Special Help Table'!$A711)+1,LEN('Special Help Table'!$A711)),AND(LEN('Special Help Table'!$A711)-(LEN(SUBSTITUTE('Special Help Table'!$A711,";","")))=1,LEN('Special Help Table'!$A711)-LEN(SUBSTITUTE('Special Help Table'!$A711,"and ",""))=0),MID('Special Help Table'!$A711,SEARCH(",",'Special Help Table'!$A711)+1,(SEARCH(";",'Special Help Table'!$A711)-1)-SEARCH(",",'Special Help Table'!$A711))&amp;" "&amp;LEFT('Special Help Table'!$A711,SEARCH(",",'Special Help Table'!$A711)-1)&amp;";"&amp;RIGHT('Special Help Table'!$A711,LEN('Special Help Table'!$A711)-SEARCH(",",'Special Help Table'!$A711,SEARCH(";",'Special Help Table'!$A711)))&amp;" "&amp;MID('Special Help Table'!$A711,SEARCH("; ",'Special Help Table'!$A711)+2,SEARCH(",",'Special Help Table'!$A711,SEARCH(";",'Special Help Table'!$A711))-SEARCH(";",'Special Help Table'!$A711)-2),AND(LEN('Special Help Table'!$A711)-LEN(SUBSTITUTE('Special Help Table'!$A711,"and ",""))=0,LEN('Special Help Table'!$A711)-LEN(SUBSTITUTE('Special Help Table'!$A711,";",""))=0),'Special Help Table'!$A711,AND(LEN('Special Help Table'!$A711)-LEN(SUBSTITUTE('Special Help Table'!$A711,",","")=1),LEN('Special Help Table'!$A711)-LEN(SUBSTITUTE('Special Help Table'!$A711," ","")=20),LEN('Special Help Table'!$A711)-LEN(SUBSTITUTE('Special Help Table'!$A711," and",""))=0,LEN('Special Help Table'!$A711)-LEN(SUBSTITUTE('Special Help Table'!$A711,",","",FIND(" ",'Special Help Table'!$A711)+1))=0),RIGHT('Special Help Table'!$A711,LEN('Special Help Table'!$A711)-FIND(", ",'Special Help Table'!$A711))&amp;" "&amp;LEFT('Special Help Table'!$A711,FIND(",",'Special Help Table'!$A711)-1),AND(LEN('Special Help Table'!$A711)-LEN(SUBSTITUTE('Special Help Table'!$A711,"editor",""))=6,LEN('Special Help Table'!$A711)-LEN(SUBSTITUTE('Special Help Table'!$A711,"(",""))=0,LEN('Special Help Table'!$A711)-LEN(SUBSTITUTE('Special Help Table'!$A711,"and",""))=3,LEN('Special Help Table'!$A711)-LEN(SUBSTITUTE('Special Help Table'!$A711,",",""))=1,LEN('Special Help Table'!$A711)-LEN(SUBSTITUTE('Special Help Table'!$A711," ",""))=3),'Special Help Table'!$A711)</f>
        <v xml:space="preserve"> Champ Thornton</v>
      </c>
      <c r="C711" s="4" t="s">
        <v>1318</v>
      </c>
      <c r="D711" s="2"/>
      <c r="E711" s="2" t="s">
        <v>16</v>
      </c>
      <c r="F711" s="2" t="s">
        <v>72</v>
      </c>
      <c r="G711" s="2"/>
      <c r="H711" s="2"/>
      <c r="I711" s="2"/>
      <c r="J711" s="2"/>
      <c r="K711" s="3">
        <v>43831</v>
      </c>
      <c r="L711" s="2"/>
      <c r="M711" s="2"/>
      <c r="N711" s="2" t="s">
        <v>18</v>
      </c>
    </row>
    <row r="712" spans="1:14" ht="15.75" customHeight="1" x14ac:dyDescent="0.35">
      <c r="A712" s="2" t="s">
        <v>1319</v>
      </c>
      <c r="B712" s="2" t="str" cm="1">
        <f t="array" ref="B712">_xlfn.IFS(AND(LEN('Special Help Table'!$A712)-(LEN(SUBSTITUTE('Special Help Table'!$A712,";","")))=0,LEN('Special Help Table'!$A712)-LEN(SUBSTITUTE('Special Help Table'!$A712,",",""))=1,LEN('Special Help Table'!$A712)-LEN(SUBSTITUTE('Special Help Table'!$A712,"and ",""))=0),MID('Special Help Table'!$A712&amp;" "&amp;'Special Help Table'!$A712,SEARCH(", ",'Special Help Table'!$A712)+1,LEN('Special Help Table'!$A712)),AND(LEN('Special Help Table'!$A712)-(LEN(SUBSTITUTE('Special Help Table'!$A712,";","")))=1,LEN('Special Help Table'!$A712)-LEN(SUBSTITUTE('Special Help Table'!$A712,"and ",""))=0),MID('Special Help Table'!$A712,SEARCH(",",'Special Help Table'!$A712)+1,(SEARCH(";",'Special Help Table'!$A712)-1)-SEARCH(",",'Special Help Table'!$A712))&amp;" "&amp;LEFT('Special Help Table'!$A712,SEARCH(",",'Special Help Table'!$A712)-1)&amp;";"&amp;RIGHT('Special Help Table'!$A712,LEN('Special Help Table'!$A712)-SEARCH(",",'Special Help Table'!$A712,SEARCH(";",'Special Help Table'!$A712)))&amp;" "&amp;MID('Special Help Table'!$A712,SEARCH("; ",'Special Help Table'!$A712)+2,SEARCH(",",'Special Help Table'!$A712,SEARCH(";",'Special Help Table'!$A712))-SEARCH(";",'Special Help Table'!$A712)-2),AND(LEN('Special Help Table'!$A712)-LEN(SUBSTITUTE('Special Help Table'!$A712,"and ",""))=0,LEN('Special Help Table'!$A712)-LEN(SUBSTITUTE('Special Help Table'!$A712,";",""))=0),'Special Help Table'!$A712,AND(LEN('Special Help Table'!$A712)-LEN(SUBSTITUTE('Special Help Table'!$A712,",","")=1),LEN('Special Help Table'!$A712)-LEN(SUBSTITUTE('Special Help Table'!$A712," ","")=20),LEN('Special Help Table'!$A712)-LEN(SUBSTITUTE('Special Help Table'!$A712," and",""))=0,LEN('Special Help Table'!$A712)-LEN(SUBSTITUTE('Special Help Table'!$A712,",","",FIND(" ",'Special Help Table'!$A712)+1))=0),RIGHT('Special Help Table'!$A712,LEN('Special Help Table'!$A712)-FIND(", ",'Special Help Table'!$A712))&amp;" "&amp;LEFT('Special Help Table'!$A712,FIND(",",'Special Help Table'!$A712)-1),AND(LEN('Special Help Table'!$A712)-LEN(SUBSTITUTE('Special Help Table'!$A712,"editor",""))=6,LEN('Special Help Table'!$A712)-LEN(SUBSTITUTE('Special Help Table'!$A712,"(",""))=0,LEN('Special Help Table'!$A712)-LEN(SUBSTITUTE('Special Help Table'!$A712,"and",""))=3,LEN('Special Help Table'!$A712)-LEN(SUBSTITUTE('Special Help Table'!$A712,",",""))=1,LEN('Special Help Table'!$A712)-LEN(SUBSTITUTE('Special Help Table'!$A712," ",""))=3),'Special Help Table'!$A712)</f>
        <v xml:space="preserve"> Robert H.  Thune</v>
      </c>
      <c r="C712" s="4" t="s">
        <v>1320</v>
      </c>
      <c r="D712" s="2"/>
      <c r="E712" s="2" t="s">
        <v>16</v>
      </c>
      <c r="F712" s="2" t="s">
        <v>33</v>
      </c>
      <c r="G712" s="2"/>
      <c r="H712" s="2"/>
      <c r="I712" s="2"/>
      <c r="J712" s="2" t="s">
        <v>52</v>
      </c>
      <c r="K712" s="3">
        <v>42511</v>
      </c>
      <c r="L712" s="2"/>
      <c r="M712" s="2"/>
      <c r="N712" s="2" t="s">
        <v>18</v>
      </c>
    </row>
    <row r="713" spans="1:14" ht="15.75" customHeight="1" x14ac:dyDescent="0.35">
      <c r="A713" s="2" t="s">
        <v>1321</v>
      </c>
      <c r="B713" s="2" t="str" cm="1">
        <f t="array" ref="B713">_xlfn.IFS(AND(LEN('Special Help Table'!$A713)-(LEN(SUBSTITUTE('Special Help Table'!$A713,";","")))=0,LEN('Special Help Table'!$A713)-LEN(SUBSTITUTE('Special Help Table'!$A713,",",""))=1,LEN('Special Help Table'!$A713)-LEN(SUBSTITUTE('Special Help Table'!$A713,"and ",""))=0),MID('Special Help Table'!$A713&amp;" "&amp;'Special Help Table'!$A713,SEARCH(", ",'Special Help Table'!$A713)+1,LEN('Special Help Table'!$A713)),AND(LEN('Special Help Table'!$A713)-(LEN(SUBSTITUTE('Special Help Table'!$A713,";","")))=1,LEN('Special Help Table'!$A713)-LEN(SUBSTITUTE('Special Help Table'!$A713,"and ",""))=0),MID('Special Help Table'!$A713,SEARCH(",",'Special Help Table'!$A713)+1,(SEARCH(";",'Special Help Table'!$A713)-1)-SEARCH(",",'Special Help Table'!$A713))&amp;" "&amp;LEFT('Special Help Table'!$A713,SEARCH(",",'Special Help Table'!$A713)-1)&amp;";"&amp;RIGHT('Special Help Table'!$A713,LEN('Special Help Table'!$A713)-SEARCH(",",'Special Help Table'!$A713,SEARCH(";",'Special Help Table'!$A713)))&amp;" "&amp;MID('Special Help Table'!$A713,SEARCH("; ",'Special Help Table'!$A713)+2,SEARCH(",",'Special Help Table'!$A713,SEARCH(";",'Special Help Table'!$A713))-SEARCH(";",'Special Help Table'!$A713)-2),AND(LEN('Special Help Table'!$A713)-LEN(SUBSTITUTE('Special Help Table'!$A713,"and ",""))=0,LEN('Special Help Table'!$A713)-LEN(SUBSTITUTE('Special Help Table'!$A713,";",""))=0),'Special Help Table'!$A713,AND(LEN('Special Help Table'!$A713)-LEN(SUBSTITUTE('Special Help Table'!$A713,",","")=1),LEN('Special Help Table'!$A713)-LEN(SUBSTITUTE('Special Help Table'!$A713," ","")=20),LEN('Special Help Table'!$A713)-LEN(SUBSTITUTE('Special Help Table'!$A713," and",""))=0,LEN('Special Help Table'!$A713)-LEN(SUBSTITUTE('Special Help Table'!$A713,",","",FIND(" ",'Special Help Table'!$A713)+1))=0),RIGHT('Special Help Table'!$A713,LEN('Special Help Table'!$A713)-FIND(", ",'Special Help Table'!$A713))&amp;" "&amp;LEFT('Special Help Table'!$A713,FIND(",",'Special Help Table'!$A713)-1),AND(LEN('Special Help Table'!$A713)-LEN(SUBSTITUTE('Special Help Table'!$A713,"editor",""))=6,LEN('Special Help Table'!$A713)-LEN(SUBSTITUTE('Special Help Table'!$A713,"(",""))=0,LEN('Special Help Table'!$A713)-LEN(SUBSTITUTE('Special Help Table'!$A713,"and",""))=3,LEN('Special Help Table'!$A713)-LEN(SUBSTITUTE('Special Help Table'!$A713,",",""))=1,LEN('Special Help Table'!$A713)-LEN(SUBSTITUTE('Special Help Table'!$A713," ",""))=3),'Special Help Table'!$A713)</f>
        <v xml:space="preserve"> A.W. Tozer</v>
      </c>
      <c r="C713" s="4" t="s">
        <v>1322</v>
      </c>
      <c r="D713" s="2"/>
      <c r="E713" s="2" t="s">
        <v>16</v>
      </c>
      <c r="F713" s="2" t="s">
        <v>28</v>
      </c>
      <c r="G713" s="2"/>
      <c r="H713" s="2"/>
      <c r="I713" s="2"/>
      <c r="J713" s="2"/>
      <c r="K713" s="3">
        <v>40054</v>
      </c>
      <c r="L713" s="2"/>
      <c r="M713" s="2"/>
      <c r="N713" s="2" t="s">
        <v>18</v>
      </c>
    </row>
    <row r="714" spans="1:14" ht="15.75" customHeight="1" x14ac:dyDescent="0.35">
      <c r="A714" s="2" t="s">
        <v>1321</v>
      </c>
      <c r="B714" s="2" t="str" cm="1">
        <f t="array" ref="B714">_xlfn.IFS(AND(LEN('Special Help Table'!$A714)-(LEN(SUBSTITUTE('Special Help Table'!$A714,";","")))=0,LEN('Special Help Table'!$A714)-LEN(SUBSTITUTE('Special Help Table'!$A714,",",""))=1,LEN('Special Help Table'!$A714)-LEN(SUBSTITUTE('Special Help Table'!$A714,"and ",""))=0),MID('Special Help Table'!$A714&amp;" "&amp;'Special Help Table'!$A714,SEARCH(", ",'Special Help Table'!$A714)+1,LEN('Special Help Table'!$A714)),AND(LEN('Special Help Table'!$A714)-(LEN(SUBSTITUTE('Special Help Table'!$A714,";","")))=1,LEN('Special Help Table'!$A714)-LEN(SUBSTITUTE('Special Help Table'!$A714,"and ",""))=0),MID('Special Help Table'!$A714,SEARCH(",",'Special Help Table'!$A714)+1,(SEARCH(";",'Special Help Table'!$A714)-1)-SEARCH(",",'Special Help Table'!$A714))&amp;" "&amp;LEFT('Special Help Table'!$A714,SEARCH(",",'Special Help Table'!$A714)-1)&amp;";"&amp;RIGHT('Special Help Table'!$A714,LEN('Special Help Table'!$A714)-SEARCH(",",'Special Help Table'!$A714,SEARCH(";",'Special Help Table'!$A714)))&amp;" "&amp;MID('Special Help Table'!$A714,SEARCH("; ",'Special Help Table'!$A714)+2,SEARCH(",",'Special Help Table'!$A714,SEARCH(";",'Special Help Table'!$A714))-SEARCH(";",'Special Help Table'!$A714)-2),AND(LEN('Special Help Table'!$A714)-LEN(SUBSTITUTE('Special Help Table'!$A714,"and ",""))=0,LEN('Special Help Table'!$A714)-LEN(SUBSTITUTE('Special Help Table'!$A714,";",""))=0),'Special Help Table'!$A714,AND(LEN('Special Help Table'!$A714)-LEN(SUBSTITUTE('Special Help Table'!$A714,",","")=1),LEN('Special Help Table'!$A714)-LEN(SUBSTITUTE('Special Help Table'!$A714," ","")=20),LEN('Special Help Table'!$A714)-LEN(SUBSTITUTE('Special Help Table'!$A714," and",""))=0,LEN('Special Help Table'!$A714)-LEN(SUBSTITUTE('Special Help Table'!$A714,",","",FIND(" ",'Special Help Table'!$A714)+1))=0),RIGHT('Special Help Table'!$A714,LEN('Special Help Table'!$A714)-FIND(", ",'Special Help Table'!$A714))&amp;" "&amp;LEFT('Special Help Table'!$A714,FIND(",",'Special Help Table'!$A714)-1),AND(LEN('Special Help Table'!$A714)-LEN(SUBSTITUTE('Special Help Table'!$A714,"editor",""))=6,LEN('Special Help Table'!$A714)-LEN(SUBSTITUTE('Special Help Table'!$A714,"(",""))=0,LEN('Special Help Table'!$A714)-LEN(SUBSTITUTE('Special Help Table'!$A714,"and",""))=3,LEN('Special Help Table'!$A714)-LEN(SUBSTITUTE('Special Help Table'!$A714,",",""))=1,LEN('Special Help Table'!$A714)-LEN(SUBSTITUTE('Special Help Table'!$A714," ",""))=3),'Special Help Table'!$A714)</f>
        <v xml:space="preserve"> A.W. Tozer</v>
      </c>
      <c r="C714" s="4" t="s">
        <v>1323</v>
      </c>
      <c r="D714" s="2"/>
      <c r="E714" s="2" t="s">
        <v>16</v>
      </c>
      <c r="F714" s="2" t="s">
        <v>28</v>
      </c>
      <c r="G714" s="2"/>
      <c r="H714" s="2"/>
      <c r="I714" s="2"/>
      <c r="J714" s="2"/>
      <c r="K714" s="3">
        <v>40055</v>
      </c>
      <c r="L714" s="2"/>
      <c r="M714" s="2"/>
      <c r="N714" s="2" t="s">
        <v>18</v>
      </c>
    </row>
    <row r="715" spans="1:14" ht="15.75" customHeight="1" x14ac:dyDescent="0.35">
      <c r="A715" s="2" t="s">
        <v>1324</v>
      </c>
      <c r="B715" s="2" t="str" cm="1">
        <f t="array" ref="B715">_xlfn.IFS(AND(LEN('Special Help Table'!$A715)-(LEN(SUBSTITUTE('Special Help Table'!$A715,";","")))=0,LEN('Special Help Table'!$A715)-LEN(SUBSTITUTE('Special Help Table'!$A715,",",""))=1,LEN('Special Help Table'!$A715)-LEN(SUBSTITUTE('Special Help Table'!$A715,"and ",""))=0),MID('Special Help Table'!$A715&amp;" "&amp;'Special Help Table'!$A715,SEARCH(", ",'Special Help Table'!$A715)+1,LEN('Special Help Table'!$A715)),AND(LEN('Special Help Table'!$A715)-(LEN(SUBSTITUTE('Special Help Table'!$A715,";","")))=1,LEN('Special Help Table'!$A715)-LEN(SUBSTITUTE('Special Help Table'!$A715,"and ",""))=0),MID('Special Help Table'!$A715,SEARCH(",",'Special Help Table'!$A715)+1,(SEARCH(";",'Special Help Table'!$A715)-1)-SEARCH(",",'Special Help Table'!$A715))&amp;" "&amp;LEFT('Special Help Table'!$A715,SEARCH(",",'Special Help Table'!$A715)-1)&amp;";"&amp;RIGHT('Special Help Table'!$A715,LEN('Special Help Table'!$A715)-SEARCH(",",'Special Help Table'!$A715,SEARCH(";",'Special Help Table'!$A715)))&amp;" "&amp;MID('Special Help Table'!$A715,SEARCH("; ",'Special Help Table'!$A715)+2,SEARCH(",",'Special Help Table'!$A715,SEARCH(";",'Special Help Table'!$A715))-SEARCH(";",'Special Help Table'!$A715)-2),AND(LEN('Special Help Table'!$A715)-LEN(SUBSTITUTE('Special Help Table'!$A715,"and ",""))=0,LEN('Special Help Table'!$A715)-LEN(SUBSTITUTE('Special Help Table'!$A715,";",""))=0),'Special Help Table'!$A715,AND(LEN('Special Help Table'!$A715)-LEN(SUBSTITUTE('Special Help Table'!$A715,",","")=1),LEN('Special Help Table'!$A715)-LEN(SUBSTITUTE('Special Help Table'!$A715," ","")=20),LEN('Special Help Table'!$A715)-LEN(SUBSTITUTE('Special Help Table'!$A715," and",""))=0,LEN('Special Help Table'!$A715)-LEN(SUBSTITUTE('Special Help Table'!$A715,",","",FIND(" ",'Special Help Table'!$A715)+1))=0),RIGHT('Special Help Table'!$A715,LEN('Special Help Table'!$A715)-FIND(", ",'Special Help Table'!$A715))&amp;" "&amp;LEFT('Special Help Table'!$A715,FIND(",",'Special Help Table'!$A715)-1),AND(LEN('Special Help Table'!$A715)-LEN(SUBSTITUTE('Special Help Table'!$A715,"editor",""))=6,LEN('Special Help Table'!$A715)-LEN(SUBSTITUTE('Special Help Table'!$A715,"(",""))=0,LEN('Special Help Table'!$A715)-LEN(SUBSTITUTE('Special Help Table'!$A715,"and",""))=3,LEN('Special Help Table'!$A715)-LEN(SUBSTITUTE('Special Help Table'!$A715,",",""))=1,LEN('Special Help Table'!$A715)-LEN(SUBSTITUTE('Special Help Table'!$A715," ",""))=3),'Special Help Table'!$A715)</f>
        <v xml:space="preserve"> Sebastian Traeger</v>
      </c>
      <c r="C715" s="4" t="s">
        <v>1325</v>
      </c>
      <c r="D715" s="2" t="s">
        <v>1326</v>
      </c>
      <c r="E715" s="2" t="s">
        <v>16</v>
      </c>
      <c r="F715" s="2" t="s">
        <v>36</v>
      </c>
      <c r="G715" s="2"/>
      <c r="H715" s="2"/>
      <c r="I715" s="2"/>
      <c r="J715" s="2" t="s">
        <v>1327</v>
      </c>
      <c r="K715" s="3">
        <v>41773</v>
      </c>
      <c r="L715" s="2"/>
      <c r="M715" s="2"/>
      <c r="N715" s="2" t="s">
        <v>18</v>
      </c>
    </row>
    <row r="716" spans="1:14" ht="15.75" customHeight="1" x14ac:dyDescent="0.35">
      <c r="A716" s="2" t="s">
        <v>1328</v>
      </c>
      <c r="B716" s="2" t="str" cm="1">
        <f t="array" ref="B716">_xlfn.IFS(AND(LEN('Special Help Table'!$A716)-(LEN(SUBSTITUTE('Special Help Table'!$A716,";","")))=0,LEN('Special Help Table'!$A716)-LEN(SUBSTITUTE('Special Help Table'!$A716,",",""))=1,LEN('Special Help Table'!$A716)-LEN(SUBSTITUTE('Special Help Table'!$A716,"and ",""))=0),MID('Special Help Table'!$A716&amp;" "&amp;'Special Help Table'!$A716,SEARCH(", ",'Special Help Table'!$A716)+1,LEN('Special Help Table'!$A716)),AND(LEN('Special Help Table'!$A716)-(LEN(SUBSTITUTE('Special Help Table'!$A716,";","")))=1,LEN('Special Help Table'!$A716)-LEN(SUBSTITUTE('Special Help Table'!$A716,"and ",""))=0),MID('Special Help Table'!$A716,SEARCH(",",'Special Help Table'!$A716)+1,(SEARCH(";",'Special Help Table'!$A716)-1)-SEARCH(",",'Special Help Table'!$A716))&amp;" "&amp;LEFT('Special Help Table'!$A716,SEARCH(",",'Special Help Table'!$A716)-1)&amp;";"&amp;RIGHT('Special Help Table'!$A716,LEN('Special Help Table'!$A716)-SEARCH(",",'Special Help Table'!$A716,SEARCH(";",'Special Help Table'!$A716)))&amp;" "&amp;MID('Special Help Table'!$A716,SEARCH("; ",'Special Help Table'!$A716)+2,SEARCH(",",'Special Help Table'!$A716,SEARCH(";",'Special Help Table'!$A716))-SEARCH(";",'Special Help Table'!$A716)-2),AND(LEN('Special Help Table'!$A716)-LEN(SUBSTITUTE('Special Help Table'!$A716,"and ",""))=0,LEN('Special Help Table'!$A716)-LEN(SUBSTITUTE('Special Help Table'!$A716,";",""))=0),'Special Help Table'!$A716,AND(LEN('Special Help Table'!$A716)-LEN(SUBSTITUTE('Special Help Table'!$A716,",","")=1),LEN('Special Help Table'!$A716)-LEN(SUBSTITUTE('Special Help Table'!$A716," ","")=20),LEN('Special Help Table'!$A716)-LEN(SUBSTITUTE('Special Help Table'!$A716," and",""))=0,LEN('Special Help Table'!$A716)-LEN(SUBSTITUTE('Special Help Table'!$A716,",","",FIND(" ",'Special Help Table'!$A716)+1))=0),RIGHT('Special Help Table'!$A716,LEN('Special Help Table'!$A716)-FIND(", ",'Special Help Table'!$A716))&amp;" "&amp;LEFT('Special Help Table'!$A716,FIND(",",'Special Help Table'!$A716)-1),AND(LEN('Special Help Table'!$A716)-LEN(SUBSTITUTE('Special Help Table'!$A716,"editor",""))=6,LEN('Special Help Table'!$A716)-LEN(SUBSTITUTE('Special Help Table'!$A716,"(",""))=0,LEN('Special Help Table'!$A716)-LEN(SUBSTITUTE('Special Help Table'!$A716,"and",""))=3,LEN('Special Help Table'!$A716)-LEN(SUBSTITUTE('Special Help Table'!$A716,",",""))=1,LEN('Special Help Table'!$A716)-LEN(SUBSTITUTE('Special Help Table'!$A716," ",""))=3),'Special Help Table'!$A716)</f>
        <v xml:space="preserve"> Lucille Travis</v>
      </c>
      <c r="C716" s="4" t="s">
        <v>1329</v>
      </c>
      <c r="D716" s="2" t="s">
        <v>136</v>
      </c>
      <c r="E716" s="2" t="s">
        <v>16</v>
      </c>
      <c r="F716" s="2" t="s">
        <v>72</v>
      </c>
      <c r="G716" s="2"/>
      <c r="H716" s="2"/>
      <c r="I716" s="2"/>
      <c r="J716" s="2"/>
      <c r="K716" s="3">
        <v>41804</v>
      </c>
      <c r="L716" s="2"/>
      <c r="M716" s="2"/>
      <c r="N716" s="2" t="s">
        <v>18</v>
      </c>
    </row>
    <row r="717" spans="1:14" ht="15.75" customHeight="1" x14ac:dyDescent="0.35">
      <c r="A717" s="2" t="s">
        <v>1328</v>
      </c>
      <c r="B717" s="2" t="str" cm="1">
        <f t="array" ref="B717">_xlfn.IFS(AND(LEN('Special Help Table'!$A717)-(LEN(SUBSTITUTE('Special Help Table'!$A717,";","")))=0,LEN('Special Help Table'!$A717)-LEN(SUBSTITUTE('Special Help Table'!$A717,",",""))=1,LEN('Special Help Table'!$A717)-LEN(SUBSTITUTE('Special Help Table'!$A717,"and ",""))=0),MID('Special Help Table'!$A717&amp;" "&amp;'Special Help Table'!$A717,SEARCH(", ",'Special Help Table'!$A717)+1,LEN('Special Help Table'!$A717)),AND(LEN('Special Help Table'!$A717)-(LEN(SUBSTITUTE('Special Help Table'!$A717,";","")))=1,LEN('Special Help Table'!$A717)-LEN(SUBSTITUTE('Special Help Table'!$A717,"and ",""))=0),MID('Special Help Table'!$A717,SEARCH(",",'Special Help Table'!$A717)+1,(SEARCH(";",'Special Help Table'!$A717)-1)-SEARCH(",",'Special Help Table'!$A717))&amp;" "&amp;LEFT('Special Help Table'!$A717,SEARCH(",",'Special Help Table'!$A717)-1)&amp;";"&amp;RIGHT('Special Help Table'!$A717,LEN('Special Help Table'!$A717)-SEARCH(",",'Special Help Table'!$A717,SEARCH(";",'Special Help Table'!$A717)))&amp;" "&amp;MID('Special Help Table'!$A717,SEARCH("; ",'Special Help Table'!$A717)+2,SEARCH(",",'Special Help Table'!$A717,SEARCH(";",'Special Help Table'!$A717))-SEARCH(";",'Special Help Table'!$A717)-2),AND(LEN('Special Help Table'!$A717)-LEN(SUBSTITUTE('Special Help Table'!$A717,"and ",""))=0,LEN('Special Help Table'!$A717)-LEN(SUBSTITUTE('Special Help Table'!$A717,";",""))=0),'Special Help Table'!$A717,AND(LEN('Special Help Table'!$A717)-LEN(SUBSTITUTE('Special Help Table'!$A717,",","")=1),LEN('Special Help Table'!$A717)-LEN(SUBSTITUTE('Special Help Table'!$A717," ","")=20),LEN('Special Help Table'!$A717)-LEN(SUBSTITUTE('Special Help Table'!$A717," and",""))=0,LEN('Special Help Table'!$A717)-LEN(SUBSTITUTE('Special Help Table'!$A717,",","",FIND(" ",'Special Help Table'!$A717)+1))=0),RIGHT('Special Help Table'!$A717,LEN('Special Help Table'!$A717)-FIND(", ",'Special Help Table'!$A717))&amp;" "&amp;LEFT('Special Help Table'!$A717,FIND(",",'Special Help Table'!$A717)-1),AND(LEN('Special Help Table'!$A717)-LEN(SUBSTITUTE('Special Help Table'!$A717,"editor",""))=6,LEN('Special Help Table'!$A717)-LEN(SUBSTITUTE('Special Help Table'!$A717,"(",""))=0,LEN('Special Help Table'!$A717)-LEN(SUBSTITUTE('Special Help Table'!$A717,"and",""))=3,LEN('Special Help Table'!$A717)-LEN(SUBSTITUTE('Special Help Table'!$A717,",",""))=1,LEN('Special Help Table'!$A717)-LEN(SUBSTITUTE('Special Help Table'!$A717," ",""))=3),'Special Help Table'!$A717)</f>
        <v xml:space="preserve"> Lucille Travis</v>
      </c>
      <c r="C717" s="4" t="s">
        <v>1330</v>
      </c>
      <c r="D717" s="2" t="s">
        <v>136</v>
      </c>
      <c r="E717" s="2" t="s">
        <v>16</v>
      </c>
      <c r="F717" s="2" t="s">
        <v>72</v>
      </c>
      <c r="G717" s="2"/>
      <c r="H717" s="2"/>
      <c r="I717" s="2"/>
      <c r="J717" s="2"/>
      <c r="K717" s="3">
        <v>41804</v>
      </c>
      <c r="L717" s="2"/>
      <c r="M717" s="2"/>
      <c r="N717" s="2" t="s">
        <v>18</v>
      </c>
    </row>
    <row r="718" spans="1:14" ht="15.75" customHeight="1" x14ac:dyDescent="0.35">
      <c r="A718" s="2" t="s">
        <v>1331</v>
      </c>
      <c r="B718" s="2" t="str" cm="1">
        <f t="array" ref="B718">_xlfn.IFS(AND(LEN('Special Help Table'!$A718)-(LEN(SUBSTITUTE('Special Help Table'!$A718,";","")))=0,LEN('Special Help Table'!$A718)-LEN(SUBSTITUTE('Special Help Table'!$A718,",",""))=1,LEN('Special Help Table'!$A718)-LEN(SUBSTITUTE('Special Help Table'!$A718,"and ",""))=0),MID('Special Help Table'!$A718&amp;" "&amp;'Special Help Table'!$A718,SEARCH(", ",'Special Help Table'!$A718)+1,LEN('Special Help Table'!$A718)),AND(LEN('Special Help Table'!$A718)-(LEN(SUBSTITUTE('Special Help Table'!$A718,";","")))=1,LEN('Special Help Table'!$A718)-LEN(SUBSTITUTE('Special Help Table'!$A718,"and ",""))=0),MID('Special Help Table'!$A718,SEARCH(",",'Special Help Table'!$A718)+1,(SEARCH(";",'Special Help Table'!$A718)-1)-SEARCH(",",'Special Help Table'!$A718))&amp;" "&amp;LEFT('Special Help Table'!$A718,SEARCH(",",'Special Help Table'!$A718)-1)&amp;";"&amp;RIGHT('Special Help Table'!$A718,LEN('Special Help Table'!$A718)-SEARCH(",",'Special Help Table'!$A718,SEARCH(";",'Special Help Table'!$A718)))&amp;" "&amp;MID('Special Help Table'!$A718,SEARCH("; ",'Special Help Table'!$A718)+2,SEARCH(",",'Special Help Table'!$A718,SEARCH(";",'Special Help Table'!$A718))-SEARCH(";",'Special Help Table'!$A718)-2),AND(LEN('Special Help Table'!$A718)-LEN(SUBSTITUTE('Special Help Table'!$A718,"and ",""))=0,LEN('Special Help Table'!$A718)-LEN(SUBSTITUTE('Special Help Table'!$A718,";",""))=0),'Special Help Table'!$A718,AND(LEN('Special Help Table'!$A718)-LEN(SUBSTITUTE('Special Help Table'!$A718,",","")=1),LEN('Special Help Table'!$A718)-LEN(SUBSTITUTE('Special Help Table'!$A718," ","")=20),LEN('Special Help Table'!$A718)-LEN(SUBSTITUTE('Special Help Table'!$A718," and",""))=0,LEN('Special Help Table'!$A718)-LEN(SUBSTITUTE('Special Help Table'!$A718,",","",FIND(" ",'Special Help Table'!$A718)+1))=0),RIGHT('Special Help Table'!$A718,LEN('Special Help Table'!$A718)-FIND(", ",'Special Help Table'!$A718))&amp;" "&amp;LEFT('Special Help Table'!$A718,FIND(",",'Special Help Table'!$A718)-1),AND(LEN('Special Help Table'!$A718)-LEN(SUBSTITUTE('Special Help Table'!$A718,"editor",""))=6,LEN('Special Help Table'!$A718)-LEN(SUBSTITUTE('Special Help Table'!$A718,"(",""))=0,LEN('Special Help Table'!$A718)-LEN(SUBSTITUTE('Special Help Table'!$A718,"and",""))=3,LEN('Special Help Table'!$A718)-LEN(SUBSTITUTE('Special Help Table'!$A718,",",""))=1,LEN('Special Help Table'!$A718)-LEN(SUBSTITUTE('Special Help Table'!$A718," ",""))=3),'Special Help Table'!$A718)</f>
        <v xml:space="preserve"> Paul David Tripp</v>
      </c>
      <c r="C718" s="4" t="s">
        <v>1332</v>
      </c>
      <c r="D718" s="2"/>
      <c r="E718" s="2" t="s">
        <v>16</v>
      </c>
      <c r="F718" s="2" t="s">
        <v>17</v>
      </c>
      <c r="G718" s="2"/>
      <c r="H718" s="2"/>
      <c r="I718" s="2" t="s">
        <v>100</v>
      </c>
      <c r="J718" s="2" t="s">
        <v>655</v>
      </c>
      <c r="K718" s="3">
        <v>41621</v>
      </c>
      <c r="L718" s="2"/>
      <c r="M718" s="2"/>
      <c r="N718" s="2" t="s">
        <v>18</v>
      </c>
    </row>
    <row r="719" spans="1:14" ht="15.75" customHeight="1" x14ac:dyDescent="0.35">
      <c r="A719" s="2" t="s">
        <v>1331</v>
      </c>
      <c r="B719" s="2" t="str" cm="1">
        <f t="array" ref="B719">_xlfn.IFS(AND(LEN('Special Help Table'!$A719)-(LEN(SUBSTITUTE('Special Help Table'!$A719,";","")))=0,LEN('Special Help Table'!$A719)-LEN(SUBSTITUTE('Special Help Table'!$A719,",",""))=1,LEN('Special Help Table'!$A719)-LEN(SUBSTITUTE('Special Help Table'!$A719,"and ",""))=0),MID('Special Help Table'!$A719&amp;" "&amp;'Special Help Table'!$A719,SEARCH(", ",'Special Help Table'!$A719)+1,LEN('Special Help Table'!$A719)),AND(LEN('Special Help Table'!$A719)-(LEN(SUBSTITUTE('Special Help Table'!$A719,";","")))=1,LEN('Special Help Table'!$A719)-LEN(SUBSTITUTE('Special Help Table'!$A719,"and ",""))=0),MID('Special Help Table'!$A719,SEARCH(",",'Special Help Table'!$A719)+1,(SEARCH(";",'Special Help Table'!$A719)-1)-SEARCH(",",'Special Help Table'!$A719))&amp;" "&amp;LEFT('Special Help Table'!$A719,SEARCH(",",'Special Help Table'!$A719)-1)&amp;";"&amp;RIGHT('Special Help Table'!$A719,LEN('Special Help Table'!$A719)-SEARCH(",",'Special Help Table'!$A719,SEARCH(";",'Special Help Table'!$A719)))&amp;" "&amp;MID('Special Help Table'!$A719,SEARCH("; ",'Special Help Table'!$A719)+2,SEARCH(",",'Special Help Table'!$A719,SEARCH(";",'Special Help Table'!$A719))-SEARCH(";",'Special Help Table'!$A719)-2),AND(LEN('Special Help Table'!$A719)-LEN(SUBSTITUTE('Special Help Table'!$A719,"and ",""))=0,LEN('Special Help Table'!$A719)-LEN(SUBSTITUTE('Special Help Table'!$A719,";",""))=0),'Special Help Table'!$A719,AND(LEN('Special Help Table'!$A719)-LEN(SUBSTITUTE('Special Help Table'!$A719,",","")=1),LEN('Special Help Table'!$A719)-LEN(SUBSTITUTE('Special Help Table'!$A719," ","")=20),LEN('Special Help Table'!$A719)-LEN(SUBSTITUTE('Special Help Table'!$A719," and",""))=0,LEN('Special Help Table'!$A719)-LEN(SUBSTITUTE('Special Help Table'!$A719,",","",FIND(" ",'Special Help Table'!$A719)+1))=0),RIGHT('Special Help Table'!$A719,LEN('Special Help Table'!$A719)-FIND(", ",'Special Help Table'!$A719))&amp;" "&amp;LEFT('Special Help Table'!$A719,FIND(",",'Special Help Table'!$A719)-1),AND(LEN('Special Help Table'!$A719)-LEN(SUBSTITUTE('Special Help Table'!$A719,"editor",""))=6,LEN('Special Help Table'!$A719)-LEN(SUBSTITUTE('Special Help Table'!$A719,"(",""))=0,LEN('Special Help Table'!$A719)-LEN(SUBSTITUTE('Special Help Table'!$A719,"and",""))=3,LEN('Special Help Table'!$A719)-LEN(SUBSTITUTE('Special Help Table'!$A719,",",""))=1,LEN('Special Help Table'!$A719)-LEN(SUBSTITUTE('Special Help Table'!$A719," ",""))=3),'Special Help Table'!$A719)</f>
        <v xml:space="preserve"> Paul David Tripp</v>
      </c>
      <c r="C719" s="4" t="s">
        <v>1333</v>
      </c>
      <c r="D719" s="2"/>
      <c r="E719" s="2" t="s">
        <v>16</v>
      </c>
      <c r="F719" s="2" t="s">
        <v>36</v>
      </c>
      <c r="G719" s="2"/>
      <c r="H719" s="2" t="s">
        <v>401</v>
      </c>
      <c r="I719" s="2"/>
      <c r="J719" s="2"/>
      <c r="K719" s="3">
        <v>43046</v>
      </c>
      <c r="L719" s="2"/>
      <c r="M719" s="2"/>
      <c r="N719" s="2" t="s">
        <v>18</v>
      </c>
    </row>
    <row r="720" spans="1:14" ht="15.75" customHeight="1" x14ac:dyDescent="0.35">
      <c r="A720" s="2" t="s">
        <v>1331</v>
      </c>
      <c r="B720" s="2" t="str" cm="1">
        <f t="array" ref="B720">_xlfn.IFS(AND(LEN('Special Help Table'!$A720)-(LEN(SUBSTITUTE('Special Help Table'!$A720,";","")))=0,LEN('Special Help Table'!$A720)-LEN(SUBSTITUTE('Special Help Table'!$A720,",",""))=1,LEN('Special Help Table'!$A720)-LEN(SUBSTITUTE('Special Help Table'!$A720,"and ",""))=0),MID('Special Help Table'!$A720&amp;" "&amp;'Special Help Table'!$A720,SEARCH(", ",'Special Help Table'!$A720)+1,LEN('Special Help Table'!$A720)),AND(LEN('Special Help Table'!$A720)-(LEN(SUBSTITUTE('Special Help Table'!$A720,";","")))=1,LEN('Special Help Table'!$A720)-LEN(SUBSTITUTE('Special Help Table'!$A720,"and ",""))=0),MID('Special Help Table'!$A720,SEARCH(",",'Special Help Table'!$A720)+1,(SEARCH(";",'Special Help Table'!$A720)-1)-SEARCH(",",'Special Help Table'!$A720))&amp;" "&amp;LEFT('Special Help Table'!$A720,SEARCH(",",'Special Help Table'!$A720)-1)&amp;";"&amp;RIGHT('Special Help Table'!$A720,LEN('Special Help Table'!$A720)-SEARCH(",",'Special Help Table'!$A720,SEARCH(";",'Special Help Table'!$A720)))&amp;" "&amp;MID('Special Help Table'!$A720,SEARCH("; ",'Special Help Table'!$A720)+2,SEARCH(",",'Special Help Table'!$A720,SEARCH(";",'Special Help Table'!$A720))-SEARCH(";",'Special Help Table'!$A720)-2),AND(LEN('Special Help Table'!$A720)-LEN(SUBSTITUTE('Special Help Table'!$A720,"and ",""))=0,LEN('Special Help Table'!$A720)-LEN(SUBSTITUTE('Special Help Table'!$A720,";",""))=0),'Special Help Table'!$A720,AND(LEN('Special Help Table'!$A720)-LEN(SUBSTITUTE('Special Help Table'!$A720,",","")=1),LEN('Special Help Table'!$A720)-LEN(SUBSTITUTE('Special Help Table'!$A720," ","")=20),LEN('Special Help Table'!$A720)-LEN(SUBSTITUTE('Special Help Table'!$A720," and",""))=0,LEN('Special Help Table'!$A720)-LEN(SUBSTITUTE('Special Help Table'!$A720,",","",FIND(" ",'Special Help Table'!$A720)+1))=0),RIGHT('Special Help Table'!$A720,LEN('Special Help Table'!$A720)-FIND(", ",'Special Help Table'!$A720))&amp;" "&amp;LEFT('Special Help Table'!$A720,FIND(",",'Special Help Table'!$A720)-1),AND(LEN('Special Help Table'!$A720)-LEN(SUBSTITUTE('Special Help Table'!$A720,"editor",""))=6,LEN('Special Help Table'!$A720)-LEN(SUBSTITUTE('Special Help Table'!$A720,"(",""))=0,LEN('Special Help Table'!$A720)-LEN(SUBSTITUTE('Special Help Table'!$A720,"and",""))=3,LEN('Special Help Table'!$A720)-LEN(SUBSTITUTE('Special Help Table'!$A720,",",""))=1,LEN('Special Help Table'!$A720)-LEN(SUBSTITUTE('Special Help Table'!$A720," ",""))=3),'Special Help Table'!$A720)</f>
        <v xml:space="preserve"> Paul David Tripp</v>
      </c>
      <c r="C720" s="4" t="s">
        <v>1334</v>
      </c>
      <c r="D720" s="2"/>
      <c r="E720" s="2" t="s">
        <v>16</v>
      </c>
      <c r="F720" s="2" t="s">
        <v>33</v>
      </c>
      <c r="G720" s="2"/>
      <c r="H720" s="2"/>
      <c r="I720" s="2"/>
      <c r="J720" s="2" t="s">
        <v>52</v>
      </c>
      <c r="K720" s="3">
        <v>41287</v>
      </c>
      <c r="L720" s="2"/>
      <c r="M720" s="2"/>
      <c r="N720" s="2" t="s">
        <v>18</v>
      </c>
    </row>
    <row r="721" spans="1:14" ht="15.75" customHeight="1" x14ac:dyDescent="0.35">
      <c r="A721" s="2" t="s">
        <v>1331</v>
      </c>
      <c r="B721" s="2" t="str" cm="1">
        <f t="array" ref="B721">_xlfn.IFS(AND(LEN('Special Help Table'!$A721)-(LEN(SUBSTITUTE('Special Help Table'!$A721,";","")))=0,LEN('Special Help Table'!$A721)-LEN(SUBSTITUTE('Special Help Table'!$A721,",",""))=1,LEN('Special Help Table'!$A721)-LEN(SUBSTITUTE('Special Help Table'!$A721,"and ",""))=0),MID('Special Help Table'!$A721&amp;" "&amp;'Special Help Table'!$A721,SEARCH(", ",'Special Help Table'!$A721)+1,LEN('Special Help Table'!$A721)),AND(LEN('Special Help Table'!$A721)-(LEN(SUBSTITUTE('Special Help Table'!$A721,";","")))=1,LEN('Special Help Table'!$A721)-LEN(SUBSTITUTE('Special Help Table'!$A721,"and ",""))=0),MID('Special Help Table'!$A721,SEARCH(",",'Special Help Table'!$A721)+1,(SEARCH(";",'Special Help Table'!$A721)-1)-SEARCH(",",'Special Help Table'!$A721))&amp;" "&amp;LEFT('Special Help Table'!$A721,SEARCH(",",'Special Help Table'!$A721)-1)&amp;";"&amp;RIGHT('Special Help Table'!$A721,LEN('Special Help Table'!$A721)-SEARCH(",",'Special Help Table'!$A721,SEARCH(";",'Special Help Table'!$A721)))&amp;" "&amp;MID('Special Help Table'!$A721,SEARCH("; ",'Special Help Table'!$A721)+2,SEARCH(",",'Special Help Table'!$A721,SEARCH(";",'Special Help Table'!$A721))-SEARCH(";",'Special Help Table'!$A721)-2),AND(LEN('Special Help Table'!$A721)-LEN(SUBSTITUTE('Special Help Table'!$A721,"and ",""))=0,LEN('Special Help Table'!$A721)-LEN(SUBSTITUTE('Special Help Table'!$A721,";",""))=0),'Special Help Table'!$A721,AND(LEN('Special Help Table'!$A721)-LEN(SUBSTITUTE('Special Help Table'!$A721,",","")=1),LEN('Special Help Table'!$A721)-LEN(SUBSTITUTE('Special Help Table'!$A721," ","")=20),LEN('Special Help Table'!$A721)-LEN(SUBSTITUTE('Special Help Table'!$A721," and",""))=0,LEN('Special Help Table'!$A721)-LEN(SUBSTITUTE('Special Help Table'!$A721,",","",FIND(" ",'Special Help Table'!$A721)+1))=0),RIGHT('Special Help Table'!$A721,LEN('Special Help Table'!$A721)-FIND(", ",'Special Help Table'!$A721))&amp;" "&amp;LEFT('Special Help Table'!$A721,FIND(",",'Special Help Table'!$A721)-1),AND(LEN('Special Help Table'!$A721)-LEN(SUBSTITUTE('Special Help Table'!$A721,"editor",""))=6,LEN('Special Help Table'!$A721)-LEN(SUBSTITUTE('Special Help Table'!$A721,"(",""))=0,LEN('Special Help Table'!$A721)-LEN(SUBSTITUTE('Special Help Table'!$A721,"and",""))=3,LEN('Special Help Table'!$A721)-LEN(SUBSTITUTE('Special Help Table'!$A721,",",""))=1,LEN('Special Help Table'!$A721)-LEN(SUBSTITUTE('Special Help Table'!$A721," ",""))=3),'Special Help Table'!$A721)</f>
        <v xml:space="preserve"> Paul David Tripp</v>
      </c>
      <c r="C721" s="4" t="s">
        <v>1335</v>
      </c>
      <c r="D721" s="2"/>
      <c r="E721" s="2" t="s">
        <v>16</v>
      </c>
      <c r="F721" s="2" t="s">
        <v>36</v>
      </c>
      <c r="G721" s="2"/>
      <c r="H721" s="2"/>
      <c r="I721" s="2"/>
      <c r="J721" s="2"/>
      <c r="K721" s="3">
        <v>40026</v>
      </c>
      <c r="L721" s="2"/>
      <c r="M721" s="2"/>
      <c r="N721" s="2" t="s">
        <v>18</v>
      </c>
    </row>
    <row r="722" spans="1:14" ht="15.75" customHeight="1" x14ac:dyDescent="0.35">
      <c r="A722" s="2" t="s">
        <v>1331</v>
      </c>
      <c r="B722" s="2" t="str" cm="1">
        <f t="array" ref="B722">_xlfn.IFS(AND(LEN('Special Help Table'!$A722)-(LEN(SUBSTITUTE('Special Help Table'!$A722,";","")))=0,LEN('Special Help Table'!$A722)-LEN(SUBSTITUTE('Special Help Table'!$A722,",",""))=1,LEN('Special Help Table'!$A722)-LEN(SUBSTITUTE('Special Help Table'!$A722,"and ",""))=0),MID('Special Help Table'!$A722&amp;" "&amp;'Special Help Table'!$A722,SEARCH(", ",'Special Help Table'!$A722)+1,LEN('Special Help Table'!$A722)),AND(LEN('Special Help Table'!$A722)-(LEN(SUBSTITUTE('Special Help Table'!$A722,";","")))=1,LEN('Special Help Table'!$A722)-LEN(SUBSTITUTE('Special Help Table'!$A722,"and ",""))=0),MID('Special Help Table'!$A722,SEARCH(",",'Special Help Table'!$A722)+1,(SEARCH(";",'Special Help Table'!$A722)-1)-SEARCH(",",'Special Help Table'!$A722))&amp;" "&amp;LEFT('Special Help Table'!$A722,SEARCH(",",'Special Help Table'!$A722)-1)&amp;";"&amp;RIGHT('Special Help Table'!$A722,LEN('Special Help Table'!$A722)-SEARCH(",",'Special Help Table'!$A722,SEARCH(";",'Special Help Table'!$A722)))&amp;" "&amp;MID('Special Help Table'!$A722,SEARCH("; ",'Special Help Table'!$A722)+2,SEARCH(",",'Special Help Table'!$A722,SEARCH(";",'Special Help Table'!$A722))-SEARCH(";",'Special Help Table'!$A722)-2),AND(LEN('Special Help Table'!$A722)-LEN(SUBSTITUTE('Special Help Table'!$A722,"and ",""))=0,LEN('Special Help Table'!$A722)-LEN(SUBSTITUTE('Special Help Table'!$A722,";",""))=0),'Special Help Table'!$A722,AND(LEN('Special Help Table'!$A722)-LEN(SUBSTITUTE('Special Help Table'!$A722,",","")=1),LEN('Special Help Table'!$A722)-LEN(SUBSTITUTE('Special Help Table'!$A722," ","")=20),LEN('Special Help Table'!$A722)-LEN(SUBSTITUTE('Special Help Table'!$A722," and",""))=0,LEN('Special Help Table'!$A722)-LEN(SUBSTITUTE('Special Help Table'!$A722,",","",FIND(" ",'Special Help Table'!$A722)+1))=0),RIGHT('Special Help Table'!$A722,LEN('Special Help Table'!$A722)-FIND(", ",'Special Help Table'!$A722))&amp;" "&amp;LEFT('Special Help Table'!$A722,FIND(",",'Special Help Table'!$A722)-1),AND(LEN('Special Help Table'!$A722)-LEN(SUBSTITUTE('Special Help Table'!$A722,"editor",""))=6,LEN('Special Help Table'!$A722)-LEN(SUBSTITUTE('Special Help Table'!$A722,"(",""))=0,LEN('Special Help Table'!$A722)-LEN(SUBSTITUTE('Special Help Table'!$A722,"and",""))=3,LEN('Special Help Table'!$A722)-LEN(SUBSTITUTE('Special Help Table'!$A722,",",""))=1,LEN('Special Help Table'!$A722)-LEN(SUBSTITUTE('Special Help Table'!$A722," ",""))=3),'Special Help Table'!$A722)</f>
        <v xml:space="preserve"> Paul David Tripp</v>
      </c>
      <c r="C722" s="4" t="s">
        <v>1336</v>
      </c>
      <c r="D722" s="2"/>
      <c r="E722" s="2" t="s">
        <v>16</v>
      </c>
      <c r="F722" s="2" t="s">
        <v>17</v>
      </c>
      <c r="G722" s="2"/>
      <c r="H722" s="2"/>
      <c r="I722" s="2"/>
      <c r="J722" s="2" t="s">
        <v>491</v>
      </c>
      <c r="K722" s="3">
        <v>40035</v>
      </c>
      <c r="L722" s="2"/>
      <c r="M722" s="2"/>
      <c r="N722" s="2" t="s">
        <v>18</v>
      </c>
    </row>
    <row r="723" spans="1:14" ht="15.75" customHeight="1" x14ac:dyDescent="0.35">
      <c r="A723" s="2" t="s">
        <v>1331</v>
      </c>
      <c r="B723" s="2" t="str" cm="1">
        <f t="array" ref="B723">_xlfn.IFS(AND(LEN('Special Help Table'!$A723)-(LEN(SUBSTITUTE('Special Help Table'!$A723,";","")))=0,LEN('Special Help Table'!$A723)-LEN(SUBSTITUTE('Special Help Table'!$A723,",",""))=1,LEN('Special Help Table'!$A723)-LEN(SUBSTITUTE('Special Help Table'!$A723,"and ",""))=0),MID('Special Help Table'!$A723&amp;" "&amp;'Special Help Table'!$A723,SEARCH(", ",'Special Help Table'!$A723)+1,LEN('Special Help Table'!$A723)),AND(LEN('Special Help Table'!$A723)-(LEN(SUBSTITUTE('Special Help Table'!$A723,";","")))=1,LEN('Special Help Table'!$A723)-LEN(SUBSTITUTE('Special Help Table'!$A723,"and ",""))=0),MID('Special Help Table'!$A723,SEARCH(",",'Special Help Table'!$A723)+1,(SEARCH(";",'Special Help Table'!$A723)-1)-SEARCH(",",'Special Help Table'!$A723))&amp;" "&amp;LEFT('Special Help Table'!$A723,SEARCH(",",'Special Help Table'!$A723)-1)&amp;";"&amp;RIGHT('Special Help Table'!$A723,LEN('Special Help Table'!$A723)-SEARCH(",",'Special Help Table'!$A723,SEARCH(";",'Special Help Table'!$A723)))&amp;" "&amp;MID('Special Help Table'!$A723,SEARCH("; ",'Special Help Table'!$A723)+2,SEARCH(",",'Special Help Table'!$A723,SEARCH(";",'Special Help Table'!$A723))-SEARCH(";",'Special Help Table'!$A723)-2),AND(LEN('Special Help Table'!$A723)-LEN(SUBSTITUTE('Special Help Table'!$A723,"and ",""))=0,LEN('Special Help Table'!$A723)-LEN(SUBSTITUTE('Special Help Table'!$A723,";",""))=0),'Special Help Table'!$A723,AND(LEN('Special Help Table'!$A723)-LEN(SUBSTITUTE('Special Help Table'!$A723,",","")=1),LEN('Special Help Table'!$A723)-LEN(SUBSTITUTE('Special Help Table'!$A723," ","")=20),LEN('Special Help Table'!$A723)-LEN(SUBSTITUTE('Special Help Table'!$A723," and",""))=0,LEN('Special Help Table'!$A723)-LEN(SUBSTITUTE('Special Help Table'!$A723,",","",FIND(" ",'Special Help Table'!$A723)+1))=0),RIGHT('Special Help Table'!$A723,LEN('Special Help Table'!$A723)-FIND(", ",'Special Help Table'!$A723))&amp;" "&amp;LEFT('Special Help Table'!$A723,FIND(",",'Special Help Table'!$A723)-1),AND(LEN('Special Help Table'!$A723)-LEN(SUBSTITUTE('Special Help Table'!$A723,"editor",""))=6,LEN('Special Help Table'!$A723)-LEN(SUBSTITUTE('Special Help Table'!$A723,"(",""))=0,LEN('Special Help Table'!$A723)-LEN(SUBSTITUTE('Special Help Table'!$A723,"and",""))=3,LEN('Special Help Table'!$A723)-LEN(SUBSTITUTE('Special Help Table'!$A723,",",""))=1,LEN('Special Help Table'!$A723)-LEN(SUBSTITUTE('Special Help Table'!$A723," ",""))=3),'Special Help Table'!$A723)</f>
        <v xml:space="preserve"> Paul David Tripp</v>
      </c>
      <c r="C723" s="4" t="s">
        <v>1337</v>
      </c>
      <c r="D723" s="2"/>
      <c r="E723" s="2" t="s">
        <v>16</v>
      </c>
      <c r="F723" s="2" t="s">
        <v>36</v>
      </c>
      <c r="G723" s="2"/>
      <c r="H723" s="2"/>
      <c r="I723" s="2"/>
      <c r="J723" s="2"/>
      <c r="K723" s="3">
        <v>42019</v>
      </c>
      <c r="L723" s="2"/>
      <c r="M723" s="2"/>
      <c r="N723" s="2" t="s">
        <v>18</v>
      </c>
    </row>
    <row r="724" spans="1:14" ht="15.75" customHeight="1" x14ac:dyDescent="0.35">
      <c r="A724" s="2" t="s">
        <v>1331</v>
      </c>
      <c r="B724" s="2" t="str" cm="1">
        <f t="array" ref="B724">_xlfn.IFS(AND(LEN('Special Help Table'!$A724)-(LEN(SUBSTITUTE('Special Help Table'!$A724,";","")))=0,LEN('Special Help Table'!$A724)-LEN(SUBSTITUTE('Special Help Table'!$A724,",",""))=1,LEN('Special Help Table'!$A724)-LEN(SUBSTITUTE('Special Help Table'!$A724,"and ",""))=0),MID('Special Help Table'!$A724&amp;" "&amp;'Special Help Table'!$A724,SEARCH(", ",'Special Help Table'!$A724)+1,LEN('Special Help Table'!$A724)),AND(LEN('Special Help Table'!$A724)-(LEN(SUBSTITUTE('Special Help Table'!$A724,";","")))=1,LEN('Special Help Table'!$A724)-LEN(SUBSTITUTE('Special Help Table'!$A724,"and ",""))=0),MID('Special Help Table'!$A724,SEARCH(",",'Special Help Table'!$A724)+1,(SEARCH(";",'Special Help Table'!$A724)-1)-SEARCH(",",'Special Help Table'!$A724))&amp;" "&amp;LEFT('Special Help Table'!$A724,SEARCH(",",'Special Help Table'!$A724)-1)&amp;";"&amp;RIGHT('Special Help Table'!$A724,LEN('Special Help Table'!$A724)-SEARCH(",",'Special Help Table'!$A724,SEARCH(";",'Special Help Table'!$A724)))&amp;" "&amp;MID('Special Help Table'!$A724,SEARCH("; ",'Special Help Table'!$A724)+2,SEARCH(",",'Special Help Table'!$A724,SEARCH(";",'Special Help Table'!$A724))-SEARCH(";",'Special Help Table'!$A724)-2),AND(LEN('Special Help Table'!$A724)-LEN(SUBSTITUTE('Special Help Table'!$A724,"and ",""))=0,LEN('Special Help Table'!$A724)-LEN(SUBSTITUTE('Special Help Table'!$A724,";",""))=0),'Special Help Table'!$A724,AND(LEN('Special Help Table'!$A724)-LEN(SUBSTITUTE('Special Help Table'!$A724,",","")=1),LEN('Special Help Table'!$A724)-LEN(SUBSTITUTE('Special Help Table'!$A724," ","")=20),LEN('Special Help Table'!$A724)-LEN(SUBSTITUTE('Special Help Table'!$A724," and",""))=0,LEN('Special Help Table'!$A724)-LEN(SUBSTITUTE('Special Help Table'!$A724,",","",FIND(" ",'Special Help Table'!$A724)+1))=0),RIGHT('Special Help Table'!$A724,LEN('Special Help Table'!$A724)-FIND(", ",'Special Help Table'!$A724))&amp;" "&amp;LEFT('Special Help Table'!$A724,FIND(",",'Special Help Table'!$A724)-1),AND(LEN('Special Help Table'!$A724)-LEN(SUBSTITUTE('Special Help Table'!$A724,"editor",""))=6,LEN('Special Help Table'!$A724)-LEN(SUBSTITUTE('Special Help Table'!$A724,"(",""))=0,LEN('Special Help Table'!$A724)-LEN(SUBSTITUTE('Special Help Table'!$A724,"and",""))=3,LEN('Special Help Table'!$A724)-LEN(SUBSTITUTE('Special Help Table'!$A724,",",""))=1,LEN('Special Help Table'!$A724)-LEN(SUBSTITUTE('Special Help Table'!$A724," ",""))=3),'Special Help Table'!$A724)</f>
        <v xml:space="preserve"> Paul David Tripp</v>
      </c>
      <c r="C724" s="4" t="s">
        <v>1338</v>
      </c>
      <c r="D724" s="2" t="s">
        <v>1129</v>
      </c>
      <c r="E724" s="2" t="s">
        <v>16</v>
      </c>
      <c r="F724" s="2" t="s">
        <v>17</v>
      </c>
      <c r="G724" s="2"/>
      <c r="H724" s="2"/>
      <c r="I724" s="2"/>
      <c r="J724" s="2" t="s">
        <v>100</v>
      </c>
      <c r="K724" s="3">
        <v>41774</v>
      </c>
      <c r="L724" s="2"/>
      <c r="M724" s="2"/>
      <c r="N724" s="2" t="s">
        <v>18</v>
      </c>
    </row>
    <row r="725" spans="1:14" ht="15.75" customHeight="1" x14ac:dyDescent="0.35">
      <c r="A725" s="2" t="s">
        <v>1331</v>
      </c>
      <c r="B725" s="2" t="str" cm="1">
        <f t="array" ref="B725">_xlfn.IFS(AND(LEN('Special Help Table'!$A725)-(LEN(SUBSTITUTE('Special Help Table'!$A725,";","")))=0,LEN('Special Help Table'!$A725)-LEN(SUBSTITUTE('Special Help Table'!$A725,",",""))=1,LEN('Special Help Table'!$A725)-LEN(SUBSTITUTE('Special Help Table'!$A725,"and ",""))=0),MID('Special Help Table'!$A725&amp;" "&amp;'Special Help Table'!$A725,SEARCH(", ",'Special Help Table'!$A725)+1,LEN('Special Help Table'!$A725)),AND(LEN('Special Help Table'!$A725)-(LEN(SUBSTITUTE('Special Help Table'!$A725,";","")))=1,LEN('Special Help Table'!$A725)-LEN(SUBSTITUTE('Special Help Table'!$A725,"and ",""))=0),MID('Special Help Table'!$A725,SEARCH(",",'Special Help Table'!$A725)+1,(SEARCH(";",'Special Help Table'!$A725)-1)-SEARCH(",",'Special Help Table'!$A725))&amp;" "&amp;LEFT('Special Help Table'!$A725,SEARCH(",",'Special Help Table'!$A725)-1)&amp;";"&amp;RIGHT('Special Help Table'!$A725,LEN('Special Help Table'!$A725)-SEARCH(",",'Special Help Table'!$A725,SEARCH(";",'Special Help Table'!$A725)))&amp;" "&amp;MID('Special Help Table'!$A725,SEARCH("; ",'Special Help Table'!$A725)+2,SEARCH(",",'Special Help Table'!$A725,SEARCH(";",'Special Help Table'!$A725))-SEARCH(";",'Special Help Table'!$A725)-2),AND(LEN('Special Help Table'!$A725)-LEN(SUBSTITUTE('Special Help Table'!$A725,"and ",""))=0,LEN('Special Help Table'!$A725)-LEN(SUBSTITUTE('Special Help Table'!$A725,";",""))=0),'Special Help Table'!$A725,AND(LEN('Special Help Table'!$A725)-LEN(SUBSTITUTE('Special Help Table'!$A725,",","")=1),LEN('Special Help Table'!$A725)-LEN(SUBSTITUTE('Special Help Table'!$A725," ","")=20),LEN('Special Help Table'!$A725)-LEN(SUBSTITUTE('Special Help Table'!$A725," and",""))=0,LEN('Special Help Table'!$A725)-LEN(SUBSTITUTE('Special Help Table'!$A725,",","",FIND(" ",'Special Help Table'!$A725)+1))=0),RIGHT('Special Help Table'!$A725,LEN('Special Help Table'!$A725)-FIND(", ",'Special Help Table'!$A725))&amp;" "&amp;LEFT('Special Help Table'!$A725,FIND(",",'Special Help Table'!$A725)-1),AND(LEN('Special Help Table'!$A725)-LEN(SUBSTITUTE('Special Help Table'!$A725,"editor",""))=6,LEN('Special Help Table'!$A725)-LEN(SUBSTITUTE('Special Help Table'!$A725,"(",""))=0,LEN('Special Help Table'!$A725)-LEN(SUBSTITUTE('Special Help Table'!$A725,"and",""))=3,LEN('Special Help Table'!$A725)-LEN(SUBSTITUTE('Special Help Table'!$A725,",",""))=1,LEN('Special Help Table'!$A725)-LEN(SUBSTITUTE('Special Help Table'!$A725," ",""))=3),'Special Help Table'!$A725)</f>
        <v xml:space="preserve"> Paul David Tripp</v>
      </c>
      <c r="C725" s="4" t="s">
        <v>100</v>
      </c>
      <c r="D725" s="2"/>
      <c r="E725" s="2" t="s">
        <v>16</v>
      </c>
      <c r="F725" s="2" t="s">
        <v>17</v>
      </c>
      <c r="G725" s="2"/>
      <c r="H725" s="2"/>
      <c r="I725" s="2" t="s">
        <v>100</v>
      </c>
      <c r="J725" s="2"/>
      <c r="K725" s="3">
        <v>43046</v>
      </c>
      <c r="L725" s="2"/>
      <c r="M725" s="2"/>
      <c r="N725" s="2" t="s">
        <v>18</v>
      </c>
    </row>
    <row r="726" spans="1:14" ht="15.75" customHeight="1" x14ac:dyDescent="0.35">
      <c r="A726" s="2" t="s">
        <v>1331</v>
      </c>
      <c r="B726" s="2" t="str" cm="1">
        <f t="array" ref="B726">_xlfn.IFS(AND(LEN('Special Help Table'!$A726)-(LEN(SUBSTITUTE('Special Help Table'!$A726,";","")))=0,LEN('Special Help Table'!$A726)-LEN(SUBSTITUTE('Special Help Table'!$A726,",",""))=1,LEN('Special Help Table'!$A726)-LEN(SUBSTITUTE('Special Help Table'!$A726,"and ",""))=0),MID('Special Help Table'!$A726&amp;" "&amp;'Special Help Table'!$A726,SEARCH(", ",'Special Help Table'!$A726)+1,LEN('Special Help Table'!$A726)),AND(LEN('Special Help Table'!$A726)-(LEN(SUBSTITUTE('Special Help Table'!$A726,";","")))=1,LEN('Special Help Table'!$A726)-LEN(SUBSTITUTE('Special Help Table'!$A726,"and ",""))=0),MID('Special Help Table'!$A726,SEARCH(",",'Special Help Table'!$A726)+1,(SEARCH(";",'Special Help Table'!$A726)-1)-SEARCH(",",'Special Help Table'!$A726))&amp;" "&amp;LEFT('Special Help Table'!$A726,SEARCH(",",'Special Help Table'!$A726)-1)&amp;";"&amp;RIGHT('Special Help Table'!$A726,LEN('Special Help Table'!$A726)-SEARCH(",",'Special Help Table'!$A726,SEARCH(";",'Special Help Table'!$A726)))&amp;" "&amp;MID('Special Help Table'!$A726,SEARCH("; ",'Special Help Table'!$A726)+2,SEARCH(",",'Special Help Table'!$A726,SEARCH(";",'Special Help Table'!$A726))-SEARCH(";",'Special Help Table'!$A726)-2),AND(LEN('Special Help Table'!$A726)-LEN(SUBSTITUTE('Special Help Table'!$A726,"and ",""))=0,LEN('Special Help Table'!$A726)-LEN(SUBSTITUTE('Special Help Table'!$A726,";",""))=0),'Special Help Table'!$A726,AND(LEN('Special Help Table'!$A726)-LEN(SUBSTITUTE('Special Help Table'!$A726,",","")=1),LEN('Special Help Table'!$A726)-LEN(SUBSTITUTE('Special Help Table'!$A726," ","")=20),LEN('Special Help Table'!$A726)-LEN(SUBSTITUTE('Special Help Table'!$A726," and",""))=0,LEN('Special Help Table'!$A726)-LEN(SUBSTITUTE('Special Help Table'!$A726,",","",FIND(" ",'Special Help Table'!$A726)+1))=0),RIGHT('Special Help Table'!$A726,LEN('Special Help Table'!$A726)-FIND(", ",'Special Help Table'!$A726))&amp;" "&amp;LEFT('Special Help Table'!$A726,FIND(",",'Special Help Table'!$A726)-1),AND(LEN('Special Help Table'!$A726)-LEN(SUBSTITUTE('Special Help Table'!$A726,"editor",""))=6,LEN('Special Help Table'!$A726)-LEN(SUBSTITUTE('Special Help Table'!$A726,"(",""))=0,LEN('Special Help Table'!$A726)-LEN(SUBSTITUTE('Special Help Table'!$A726,"and",""))=3,LEN('Special Help Table'!$A726)-LEN(SUBSTITUTE('Special Help Table'!$A726,",",""))=1,LEN('Special Help Table'!$A726)-LEN(SUBSTITUTE('Special Help Table'!$A726," ",""))=3),'Special Help Table'!$A726)</f>
        <v xml:space="preserve"> Paul David Tripp</v>
      </c>
      <c r="C726" s="4" t="s">
        <v>1339</v>
      </c>
      <c r="D726" s="2"/>
      <c r="E726" s="2" t="s">
        <v>16</v>
      </c>
      <c r="F726" s="2" t="s">
        <v>36</v>
      </c>
      <c r="G726" s="2"/>
      <c r="H726" s="2"/>
      <c r="I726" s="2"/>
      <c r="J726" s="2"/>
      <c r="K726" s="3">
        <v>40036</v>
      </c>
      <c r="L726" s="2"/>
      <c r="M726" s="2"/>
      <c r="N726" s="2" t="s">
        <v>18</v>
      </c>
    </row>
    <row r="727" spans="1:14" ht="15.75" customHeight="1" x14ac:dyDescent="0.35">
      <c r="A727" s="2" t="s">
        <v>1331</v>
      </c>
      <c r="B727" s="2" t="str" cm="1">
        <f t="array" ref="B727">_xlfn.IFS(AND(LEN('Special Help Table'!$A727)-(LEN(SUBSTITUTE('Special Help Table'!$A727,";","")))=0,LEN('Special Help Table'!$A727)-LEN(SUBSTITUTE('Special Help Table'!$A727,",",""))=1,LEN('Special Help Table'!$A727)-LEN(SUBSTITUTE('Special Help Table'!$A727,"and ",""))=0),MID('Special Help Table'!$A727&amp;" "&amp;'Special Help Table'!$A727,SEARCH(", ",'Special Help Table'!$A727)+1,LEN('Special Help Table'!$A727)),AND(LEN('Special Help Table'!$A727)-(LEN(SUBSTITUTE('Special Help Table'!$A727,";","")))=1,LEN('Special Help Table'!$A727)-LEN(SUBSTITUTE('Special Help Table'!$A727,"and ",""))=0),MID('Special Help Table'!$A727,SEARCH(",",'Special Help Table'!$A727)+1,(SEARCH(";",'Special Help Table'!$A727)-1)-SEARCH(",",'Special Help Table'!$A727))&amp;" "&amp;LEFT('Special Help Table'!$A727,SEARCH(",",'Special Help Table'!$A727)-1)&amp;";"&amp;RIGHT('Special Help Table'!$A727,LEN('Special Help Table'!$A727)-SEARCH(",",'Special Help Table'!$A727,SEARCH(";",'Special Help Table'!$A727)))&amp;" "&amp;MID('Special Help Table'!$A727,SEARCH("; ",'Special Help Table'!$A727)+2,SEARCH(",",'Special Help Table'!$A727,SEARCH(";",'Special Help Table'!$A727))-SEARCH(";",'Special Help Table'!$A727)-2),AND(LEN('Special Help Table'!$A727)-LEN(SUBSTITUTE('Special Help Table'!$A727,"and ",""))=0,LEN('Special Help Table'!$A727)-LEN(SUBSTITUTE('Special Help Table'!$A727,";",""))=0),'Special Help Table'!$A727,AND(LEN('Special Help Table'!$A727)-LEN(SUBSTITUTE('Special Help Table'!$A727,",","")=1),LEN('Special Help Table'!$A727)-LEN(SUBSTITUTE('Special Help Table'!$A727," ","")=20),LEN('Special Help Table'!$A727)-LEN(SUBSTITUTE('Special Help Table'!$A727," and",""))=0,LEN('Special Help Table'!$A727)-LEN(SUBSTITUTE('Special Help Table'!$A727,",","",FIND(" ",'Special Help Table'!$A727)+1))=0),RIGHT('Special Help Table'!$A727,LEN('Special Help Table'!$A727)-FIND(", ",'Special Help Table'!$A727))&amp;" "&amp;LEFT('Special Help Table'!$A727,FIND(",",'Special Help Table'!$A727)-1),AND(LEN('Special Help Table'!$A727)-LEN(SUBSTITUTE('Special Help Table'!$A727,"editor",""))=6,LEN('Special Help Table'!$A727)-LEN(SUBSTITUTE('Special Help Table'!$A727,"(",""))=0,LEN('Special Help Table'!$A727)-LEN(SUBSTITUTE('Special Help Table'!$A727,"and",""))=3,LEN('Special Help Table'!$A727)-LEN(SUBSTITUTE('Special Help Table'!$A727,",",""))=1,LEN('Special Help Table'!$A727)-LEN(SUBSTITUTE('Special Help Table'!$A727," ",""))=3),'Special Help Table'!$A727)</f>
        <v xml:space="preserve"> Paul David Tripp</v>
      </c>
      <c r="C727" s="4" t="s">
        <v>1340</v>
      </c>
      <c r="D727" s="2"/>
      <c r="E727" s="2" t="s">
        <v>16</v>
      </c>
      <c r="F727" s="2" t="s">
        <v>17</v>
      </c>
      <c r="G727" s="2"/>
      <c r="H727" s="2"/>
      <c r="I727" s="2"/>
      <c r="J727" s="2" t="s">
        <v>1341</v>
      </c>
      <c r="K727" s="3">
        <v>41468</v>
      </c>
      <c r="L727" s="2"/>
      <c r="M727" s="2"/>
      <c r="N727" s="2" t="s">
        <v>18</v>
      </c>
    </row>
    <row r="728" spans="1:14" ht="15.75" customHeight="1" x14ac:dyDescent="0.35">
      <c r="A728" s="2" t="s">
        <v>1331</v>
      </c>
      <c r="B728" s="2" t="str" cm="1">
        <f t="array" ref="B728">_xlfn.IFS(AND(LEN('Special Help Table'!$A728)-(LEN(SUBSTITUTE('Special Help Table'!$A728,";","")))=0,LEN('Special Help Table'!$A728)-LEN(SUBSTITUTE('Special Help Table'!$A728,",",""))=1,LEN('Special Help Table'!$A728)-LEN(SUBSTITUTE('Special Help Table'!$A728,"and ",""))=0),MID('Special Help Table'!$A728&amp;" "&amp;'Special Help Table'!$A728,SEARCH(", ",'Special Help Table'!$A728)+1,LEN('Special Help Table'!$A728)),AND(LEN('Special Help Table'!$A728)-(LEN(SUBSTITUTE('Special Help Table'!$A728,";","")))=1,LEN('Special Help Table'!$A728)-LEN(SUBSTITUTE('Special Help Table'!$A728,"and ",""))=0),MID('Special Help Table'!$A728,SEARCH(",",'Special Help Table'!$A728)+1,(SEARCH(";",'Special Help Table'!$A728)-1)-SEARCH(",",'Special Help Table'!$A728))&amp;" "&amp;LEFT('Special Help Table'!$A728,SEARCH(",",'Special Help Table'!$A728)-1)&amp;";"&amp;RIGHT('Special Help Table'!$A728,LEN('Special Help Table'!$A728)-SEARCH(",",'Special Help Table'!$A728,SEARCH(";",'Special Help Table'!$A728)))&amp;" "&amp;MID('Special Help Table'!$A728,SEARCH("; ",'Special Help Table'!$A728)+2,SEARCH(",",'Special Help Table'!$A728,SEARCH(";",'Special Help Table'!$A728))-SEARCH(";",'Special Help Table'!$A728)-2),AND(LEN('Special Help Table'!$A728)-LEN(SUBSTITUTE('Special Help Table'!$A728,"and ",""))=0,LEN('Special Help Table'!$A728)-LEN(SUBSTITUTE('Special Help Table'!$A728,";",""))=0),'Special Help Table'!$A728,AND(LEN('Special Help Table'!$A728)-LEN(SUBSTITUTE('Special Help Table'!$A728,",","")=1),LEN('Special Help Table'!$A728)-LEN(SUBSTITUTE('Special Help Table'!$A728," ","")=20),LEN('Special Help Table'!$A728)-LEN(SUBSTITUTE('Special Help Table'!$A728," and",""))=0,LEN('Special Help Table'!$A728)-LEN(SUBSTITUTE('Special Help Table'!$A728,",","",FIND(" ",'Special Help Table'!$A728)+1))=0),RIGHT('Special Help Table'!$A728,LEN('Special Help Table'!$A728)-FIND(", ",'Special Help Table'!$A728))&amp;" "&amp;LEFT('Special Help Table'!$A728,FIND(",",'Special Help Table'!$A728)-1),AND(LEN('Special Help Table'!$A728)-LEN(SUBSTITUTE('Special Help Table'!$A728,"editor",""))=6,LEN('Special Help Table'!$A728)-LEN(SUBSTITUTE('Special Help Table'!$A728,"(",""))=0,LEN('Special Help Table'!$A728)-LEN(SUBSTITUTE('Special Help Table'!$A728,"and",""))=3,LEN('Special Help Table'!$A728)-LEN(SUBSTITUTE('Special Help Table'!$A728,",",""))=1,LEN('Special Help Table'!$A728)-LEN(SUBSTITUTE('Special Help Table'!$A728," ",""))=3),'Special Help Table'!$A728)</f>
        <v xml:space="preserve"> Paul David Tripp</v>
      </c>
      <c r="C728" s="4" t="s">
        <v>1342</v>
      </c>
      <c r="D728" s="2"/>
      <c r="E728" s="2" t="s">
        <v>16</v>
      </c>
      <c r="F728" s="2" t="s">
        <v>17</v>
      </c>
      <c r="G728" s="2"/>
      <c r="H728" s="2"/>
      <c r="I728" s="2"/>
      <c r="J728" s="2" t="s">
        <v>188</v>
      </c>
      <c r="K728" s="3"/>
      <c r="L728" s="2"/>
      <c r="M728" s="2"/>
      <c r="N728" s="2" t="s">
        <v>18</v>
      </c>
    </row>
    <row r="729" spans="1:14" ht="15.75" customHeight="1" x14ac:dyDescent="0.35">
      <c r="A729" s="2" t="s">
        <v>1331</v>
      </c>
      <c r="B729" s="2" t="str" cm="1">
        <f t="array" ref="B729">_xlfn.IFS(AND(LEN('Special Help Table'!$A729)-(LEN(SUBSTITUTE('Special Help Table'!$A729,";","")))=0,LEN('Special Help Table'!$A729)-LEN(SUBSTITUTE('Special Help Table'!$A729,",",""))=1,LEN('Special Help Table'!$A729)-LEN(SUBSTITUTE('Special Help Table'!$A729,"and ",""))=0),MID('Special Help Table'!$A729&amp;" "&amp;'Special Help Table'!$A729,SEARCH(", ",'Special Help Table'!$A729)+1,LEN('Special Help Table'!$A729)),AND(LEN('Special Help Table'!$A729)-(LEN(SUBSTITUTE('Special Help Table'!$A729,";","")))=1,LEN('Special Help Table'!$A729)-LEN(SUBSTITUTE('Special Help Table'!$A729,"and ",""))=0),MID('Special Help Table'!$A729,SEARCH(",",'Special Help Table'!$A729)+1,(SEARCH(";",'Special Help Table'!$A729)-1)-SEARCH(",",'Special Help Table'!$A729))&amp;" "&amp;LEFT('Special Help Table'!$A729,SEARCH(",",'Special Help Table'!$A729)-1)&amp;";"&amp;RIGHT('Special Help Table'!$A729,LEN('Special Help Table'!$A729)-SEARCH(",",'Special Help Table'!$A729,SEARCH(";",'Special Help Table'!$A729)))&amp;" "&amp;MID('Special Help Table'!$A729,SEARCH("; ",'Special Help Table'!$A729)+2,SEARCH(",",'Special Help Table'!$A729,SEARCH(";",'Special Help Table'!$A729))-SEARCH(";",'Special Help Table'!$A729)-2),AND(LEN('Special Help Table'!$A729)-LEN(SUBSTITUTE('Special Help Table'!$A729,"and ",""))=0,LEN('Special Help Table'!$A729)-LEN(SUBSTITUTE('Special Help Table'!$A729,";",""))=0),'Special Help Table'!$A729,AND(LEN('Special Help Table'!$A729)-LEN(SUBSTITUTE('Special Help Table'!$A729,",","")=1),LEN('Special Help Table'!$A729)-LEN(SUBSTITUTE('Special Help Table'!$A729," ","")=20),LEN('Special Help Table'!$A729)-LEN(SUBSTITUTE('Special Help Table'!$A729," and",""))=0,LEN('Special Help Table'!$A729)-LEN(SUBSTITUTE('Special Help Table'!$A729,",","",FIND(" ",'Special Help Table'!$A729)+1))=0),RIGHT('Special Help Table'!$A729,LEN('Special Help Table'!$A729)-FIND(", ",'Special Help Table'!$A729))&amp;" "&amp;LEFT('Special Help Table'!$A729,FIND(",",'Special Help Table'!$A729)-1),AND(LEN('Special Help Table'!$A729)-LEN(SUBSTITUTE('Special Help Table'!$A729,"editor",""))=6,LEN('Special Help Table'!$A729)-LEN(SUBSTITUTE('Special Help Table'!$A729,"(",""))=0,LEN('Special Help Table'!$A729)-LEN(SUBSTITUTE('Special Help Table'!$A729,"and",""))=3,LEN('Special Help Table'!$A729)-LEN(SUBSTITUTE('Special Help Table'!$A729,",",""))=1,LEN('Special Help Table'!$A729)-LEN(SUBSTITUTE('Special Help Table'!$A729," ",""))=3),'Special Help Table'!$A729)</f>
        <v xml:space="preserve"> Paul David Tripp</v>
      </c>
      <c r="C729" s="4" t="s">
        <v>1343</v>
      </c>
      <c r="D729" s="2"/>
      <c r="E729" s="2" t="s">
        <v>16</v>
      </c>
      <c r="F729" s="2" t="s">
        <v>17</v>
      </c>
      <c r="G729" s="2"/>
      <c r="H729" s="2"/>
      <c r="I729" s="2"/>
      <c r="J729" s="2" t="s">
        <v>936</v>
      </c>
      <c r="K729" s="3">
        <v>40037</v>
      </c>
      <c r="L729" s="2"/>
      <c r="M729" s="2"/>
      <c r="N729" s="2" t="s">
        <v>18</v>
      </c>
    </row>
    <row r="730" spans="1:14" ht="15.75" customHeight="1" x14ac:dyDescent="0.35">
      <c r="A730" s="2" t="s">
        <v>1331</v>
      </c>
      <c r="B730" s="2" t="str" cm="1">
        <f t="array" ref="B730">_xlfn.IFS(AND(LEN('Special Help Table'!$A730)-(LEN(SUBSTITUTE('Special Help Table'!$A730,";","")))=0,LEN('Special Help Table'!$A730)-LEN(SUBSTITUTE('Special Help Table'!$A730,",",""))=1,LEN('Special Help Table'!$A730)-LEN(SUBSTITUTE('Special Help Table'!$A730,"and ",""))=0),MID('Special Help Table'!$A730&amp;" "&amp;'Special Help Table'!$A730,SEARCH(", ",'Special Help Table'!$A730)+1,LEN('Special Help Table'!$A730)),AND(LEN('Special Help Table'!$A730)-(LEN(SUBSTITUTE('Special Help Table'!$A730,";","")))=1,LEN('Special Help Table'!$A730)-LEN(SUBSTITUTE('Special Help Table'!$A730,"and ",""))=0),MID('Special Help Table'!$A730,SEARCH(",",'Special Help Table'!$A730)+1,(SEARCH(";",'Special Help Table'!$A730)-1)-SEARCH(",",'Special Help Table'!$A730))&amp;" "&amp;LEFT('Special Help Table'!$A730,SEARCH(",",'Special Help Table'!$A730)-1)&amp;";"&amp;RIGHT('Special Help Table'!$A730,LEN('Special Help Table'!$A730)-SEARCH(",",'Special Help Table'!$A730,SEARCH(";",'Special Help Table'!$A730)))&amp;" "&amp;MID('Special Help Table'!$A730,SEARCH("; ",'Special Help Table'!$A730)+2,SEARCH(",",'Special Help Table'!$A730,SEARCH(";",'Special Help Table'!$A730))-SEARCH(";",'Special Help Table'!$A730)-2),AND(LEN('Special Help Table'!$A730)-LEN(SUBSTITUTE('Special Help Table'!$A730,"and ",""))=0,LEN('Special Help Table'!$A730)-LEN(SUBSTITUTE('Special Help Table'!$A730,";",""))=0),'Special Help Table'!$A730,AND(LEN('Special Help Table'!$A730)-LEN(SUBSTITUTE('Special Help Table'!$A730,",","")=1),LEN('Special Help Table'!$A730)-LEN(SUBSTITUTE('Special Help Table'!$A730," ","")=20),LEN('Special Help Table'!$A730)-LEN(SUBSTITUTE('Special Help Table'!$A730," and",""))=0,LEN('Special Help Table'!$A730)-LEN(SUBSTITUTE('Special Help Table'!$A730,",","",FIND(" ",'Special Help Table'!$A730)+1))=0),RIGHT('Special Help Table'!$A730,LEN('Special Help Table'!$A730)-FIND(", ",'Special Help Table'!$A730))&amp;" "&amp;LEFT('Special Help Table'!$A730,FIND(",",'Special Help Table'!$A730)-1),AND(LEN('Special Help Table'!$A730)-LEN(SUBSTITUTE('Special Help Table'!$A730,"editor",""))=6,LEN('Special Help Table'!$A730)-LEN(SUBSTITUTE('Special Help Table'!$A730,"(",""))=0,LEN('Special Help Table'!$A730)-LEN(SUBSTITUTE('Special Help Table'!$A730,"and",""))=3,LEN('Special Help Table'!$A730)-LEN(SUBSTITUTE('Special Help Table'!$A730,",",""))=1,LEN('Special Help Table'!$A730)-LEN(SUBSTITUTE('Special Help Table'!$A730," ",""))=3),'Special Help Table'!$A730)</f>
        <v xml:space="preserve"> Paul David Tripp</v>
      </c>
      <c r="C730" s="4" t="s">
        <v>1344</v>
      </c>
      <c r="D730" s="2"/>
      <c r="E730" s="2" t="s">
        <v>16</v>
      </c>
      <c r="F730" s="2" t="s">
        <v>17</v>
      </c>
      <c r="G730" s="2"/>
      <c r="H730" s="2"/>
      <c r="I730" s="2"/>
      <c r="J730" s="2" t="s">
        <v>622</v>
      </c>
      <c r="K730" s="3">
        <v>40766</v>
      </c>
      <c r="L730" s="2"/>
      <c r="M730" s="2"/>
      <c r="N730" s="2" t="s">
        <v>18</v>
      </c>
    </row>
    <row r="731" spans="1:14" ht="15.75" customHeight="1" x14ac:dyDescent="0.35">
      <c r="A731" s="2" t="s">
        <v>1345</v>
      </c>
      <c r="B731" s="2" t="str" cm="1">
        <f t="array" ref="B731">_xlfn.IFS(AND(LEN('Special Help Table'!$A731)-(LEN(SUBSTITUTE('Special Help Table'!$A731,";","")))=0,LEN('Special Help Table'!$A731)-LEN(SUBSTITUTE('Special Help Table'!$A731,",",""))=1,LEN('Special Help Table'!$A731)-LEN(SUBSTITUTE('Special Help Table'!$A731,"and ",""))=0),MID('Special Help Table'!$A731&amp;" "&amp;'Special Help Table'!$A731,SEARCH(", ",'Special Help Table'!$A731)+1,LEN('Special Help Table'!$A731)),AND(LEN('Special Help Table'!$A731)-(LEN(SUBSTITUTE('Special Help Table'!$A731,";","")))=1,LEN('Special Help Table'!$A731)-LEN(SUBSTITUTE('Special Help Table'!$A731,"and ",""))=0),MID('Special Help Table'!$A731,SEARCH(",",'Special Help Table'!$A731)+1,(SEARCH(";",'Special Help Table'!$A731)-1)-SEARCH(",",'Special Help Table'!$A731))&amp;" "&amp;LEFT('Special Help Table'!$A731,SEARCH(",",'Special Help Table'!$A731)-1)&amp;";"&amp;RIGHT('Special Help Table'!$A731,LEN('Special Help Table'!$A731)-SEARCH(",",'Special Help Table'!$A731,SEARCH(";",'Special Help Table'!$A731)))&amp;" "&amp;MID('Special Help Table'!$A731,SEARCH("; ",'Special Help Table'!$A731)+2,SEARCH(",",'Special Help Table'!$A731,SEARCH(";",'Special Help Table'!$A731))-SEARCH(";",'Special Help Table'!$A731)-2),AND(LEN('Special Help Table'!$A731)-LEN(SUBSTITUTE('Special Help Table'!$A731,"and ",""))=0,LEN('Special Help Table'!$A731)-LEN(SUBSTITUTE('Special Help Table'!$A731,";",""))=0),'Special Help Table'!$A731,AND(LEN('Special Help Table'!$A731)-LEN(SUBSTITUTE('Special Help Table'!$A731,",","")=1),LEN('Special Help Table'!$A731)-LEN(SUBSTITUTE('Special Help Table'!$A731," ","")=20),LEN('Special Help Table'!$A731)-LEN(SUBSTITUTE('Special Help Table'!$A731," and",""))=0,LEN('Special Help Table'!$A731)-LEN(SUBSTITUTE('Special Help Table'!$A731,",","",FIND(" ",'Special Help Table'!$A731)+1))=0),RIGHT('Special Help Table'!$A731,LEN('Special Help Table'!$A731)-FIND(", ",'Special Help Table'!$A731))&amp;" "&amp;LEFT('Special Help Table'!$A731,FIND(",",'Special Help Table'!$A731)-1),AND(LEN('Special Help Table'!$A731)-LEN(SUBSTITUTE('Special Help Table'!$A731,"editor",""))=6,LEN('Special Help Table'!$A731)-LEN(SUBSTITUTE('Special Help Table'!$A731,"(",""))=0,LEN('Special Help Table'!$A731)-LEN(SUBSTITUTE('Special Help Table'!$A731,"and",""))=3,LEN('Special Help Table'!$A731)-LEN(SUBSTITUTE('Special Help Table'!$A731,",",""))=1,LEN('Special Help Table'!$A731)-LEN(SUBSTITUTE('Special Help Table'!$A731," ",""))=3),'Special Help Table'!$A731)</f>
        <v xml:space="preserve"> Paul David (editor) Tripp</v>
      </c>
      <c r="C731" s="4" t="s">
        <v>1346</v>
      </c>
      <c r="D731" s="2" t="s">
        <v>302</v>
      </c>
      <c r="E731" s="2" t="s">
        <v>16</v>
      </c>
      <c r="F731" s="2" t="s">
        <v>72</v>
      </c>
      <c r="G731" s="2"/>
      <c r="H731" s="2"/>
      <c r="I731" s="2" t="s">
        <v>1347</v>
      </c>
      <c r="J731" s="2"/>
      <c r="K731" s="3">
        <v>43832</v>
      </c>
      <c r="L731" s="2"/>
      <c r="M731" s="2"/>
      <c r="N731" s="2" t="s">
        <v>18</v>
      </c>
    </row>
    <row r="732" spans="1:14" ht="15.75" customHeight="1" x14ac:dyDescent="0.35">
      <c r="A732" s="2" t="s">
        <v>1348</v>
      </c>
      <c r="B732" s="2" t="str" cm="1">
        <f t="array" ref="B732">_xlfn.IFS(AND(LEN('Special Help Table'!$A732)-(LEN(SUBSTITUTE('Special Help Table'!$A732,";","")))=0,LEN('Special Help Table'!$A732)-LEN(SUBSTITUTE('Special Help Table'!$A732,",",""))=1,LEN('Special Help Table'!$A732)-LEN(SUBSTITUTE('Special Help Table'!$A732,"and ",""))=0),MID('Special Help Table'!$A732&amp;" "&amp;'Special Help Table'!$A732,SEARCH(", ",'Special Help Table'!$A732)+1,LEN('Special Help Table'!$A732)),AND(LEN('Special Help Table'!$A732)-(LEN(SUBSTITUTE('Special Help Table'!$A732,";","")))=1,LEN('Special Help Table'!$A732)-LEN(SUBSTITUTE('Special Help Table'!$A732,"and ",""))=0),MID('Special Help Table'!$A732,SEARCH(",",'Special Help Table'!$A732)+1,(SEARCH(";",'Special Help Table'!$A732)-1)-SEARCH(",",'Special Help Table'!$A732))&amp;" "&amp;LEFT('Special Help Table'!$A732,SEARCH(",",'Special Help Table'!$A732)-1)&amp;";"&amp;RIGHT('Special Help Table'!$A732,LEN('Special Help Table'!$A732)-SEARCH(",",'Special Help Table'!$A732,SEARCH(";",'Special Help Table'!$A732)))&amp;" "&amp;MID('Special Help Table'!$A732,SEARCH("; ",'Special Help Table'!$A732)+2,SEARCH(",",'Special Help Table'!$A732,SEARCH(";",'Special Help Table'!$A732))-SEARCH(";",'Special Help Table'!$A732)-2),AND(LEN('Special Help Table'!$A732)-LEN(SUBSTITUTE('Special Help Table'!$A732,"and ",""))=0,LEN('Special Help Table'!$A732)-LEN(SUBSTITUTE('Special Help Table'!$A732,";",""))=0),'Special Help Table'!$A732,AND(LEN('Special Help Table'!$A732)-LEN(SUBSTITUTE('Special Help Table'!$A732,",","")=1),LEN('Special Help Table'!$A732)-LEN(SUBSTITUTE('Special Help Table'!$A732," ","")=20),LEN('Special Help Table'!$A732)-LEN(SUBSTITUTE('Special Help Table'!$A732," and",""))=0,LEN('Special Help Table'!$A732)-LEN(SUBSTITUTE('Special Help Table'!$A732,",","",FIND(" ",'Special Help Table'!$A732)+1))=0),RIGHT('Special Help Table'!$A732,LEN('Special Help Table'!$A732)-FIND(", ",'Special Help Table'!$A732))&amp;" "&amp;LEFT('Special Help Table'!$A732,FIND(",",'Special Help Table'!$A732)-1),AND(LEN('Special Help Table'!$A732)-LEN(SUBSTITUTE('Special Help Table'!$A732,"editor",""))=6,LEN('Special Help Table'!$A732)-LEN(SUBSTITUTE('Special Help Table'!$A732,"(",""))=0,LEN('Special Help Table'!$A732)-LEN(SUBSTITUTE('Special Help Table'!$A732,"and",""))=3,LEN('Special Help Table'!$A732)-LEN(SUBSTITUTE('Special Help Table'!$A732,",",""))=1,LEN('Special Help Table'!$A732)-LEN(SUBSTITUTE('Special Help Table'!$A732," ",""))=3),'Special Help Table'!$A732)</f>
        <v xml:space="preserve"> Tedd Tripp</v>
      </c>
      <c r="C732" s="4" t="s">
        <v>1349</v>
      </c>
      <c r="D732" s="2"/>
      <c r="E732" s="2" t="s">
        <v>16</v>
      </c>
      <c r="F732" s="2" t="s">
        <v>17</v>
      </c>
      <c r="G732" s="2"/>
      <c r="H732" s="2"/>
      <c r="I732" s="2" t="s">
        <v>100</v>
      </c>
      <c r="J732" s="2" t="s">
        <v>730</v>
      </c>
      <c r="K732" s="3">
        <v>40308</v>
      </c>
      <c r="L732" s="2"/>
      <c r="M732" s="2"/>
      <c r="N732" s="2" t="s">
        <v>18</v>
      </c>
    </row>
    <row r="733" spans="1:14" ht="15.75" customHeight="1" x14ac:dyDescent="0.35">
      <c r="A733" s="2" t="s">
        <v>1350</v>
      </c>
      <c r="B733" s="2" t="str" cm="1">
        <f t="array" ref="B733">_xlfn.IFS(AND(LEN('Special Help Table'!$A733)-(LEN(SUBSTITUTE('Special Help Table'!$A733,";","")))=0,LEN('Special Help Table'!$A733)-LEN(SUBSTITUTE('Special Help Table'!$A733,",",""))=1,LEN('Special Help Table'!$A733)-LEN(SUBSTITUTE('Special Help Table'!$A733,"and ",""))=0),MID('Special Help Table'!$A733&amp;" "&amp;'Special Help Table'!$A733,SEARCH(", ",'Special Help Table'!$A733)+1,LEN('Special Help Table'!$A733)),AND(LEN('Special Help Table'!$A733)-(LEN(SUBSTITUTE('Special Help Table'!$A733,";","")))=1,LEN('Special Help Table'!$A733)-LEN(SUBSTITUTE('Special Help Table'!$A733,"and ",""))=0),MID('Special Help Table'!$A733,SEARCH(",",'Special Help Table'!$A733)+1,(SEARCH(";",'Special Help Table'!$A733)-1)-SEARCH(",",'Special Help Table'!$A733))&amp;" "&amp;LEFT('Special Help Table'!$A733,SEARCH(",",'Special Help Table'!$A733)-1)&amp;";"&amp;RIGHT('Special Help Table'!$A733,LEN('Special Help Table'!$A733)-SEARCH(",",'Special Help Table'!$A733,SEARCH(";",'Special Help Table'!$A733)))&amp;" "&amp;MID('Special Help Table'!$A733,SEARCH("; ",'Special Help Table'!$A733)+2,SEARCH(",",'Special Help Table'!$A733,SEARCH(";",'Special Help Table'!$A733))-SEARCH(";",'Special Help Table'!$A733)-2),AND(LEN('Special Help Table'!$A733)-LEN(SUBSTITUTE('Special Help Table'!$A733,"and ",""))=0,LEN('Special Help Table'!$A733)-LEN(SUBSTITUTE('Special Help Table'!$A733,";",""))=0),'Special Help Table'!$A733,AND(LEN('Special Help Table'!$A733)-LEN(SUBSTITUTE('Special Help Table'!$A733,",","")=1),LEN('Special Help Table'!$A733)-LEN(SUBSTITUTE('Special Help Table'!$A733," ","")=20),LEN('Special Help Table'!$A733)-LEN(SUBSTITUTE('Special Help Table'!$A733," and",""))=0,LEN('Special Help Table'!$A733)-LEN(SUBSTITUTE('Special Help Table'!$A733,",","",FIND(" ",'Special Help Table'!$A733)+1))=0),RIGHT('Special Help Table'!$A733,LEN('Special Help Table'!$A733)-FIND(", ",'Special Help Table'!$A733))&amp;" "&amp;LEFT('Special Help Table'!$A733,FIND(",",'Special Help Table'!$A733)-1),AND(LEN('Special Help Table'!$A733)-LEN(SUBSTITUTE('Special Help Table'!$A733,"editor",""))=6,LEN('Special Help Table'!$A733)-LEN(SUBSTITUTE('Special Help Table'!$A733,"(",""))=0,LEN('Special Help Table'!$A733)-LEN(SUBSTITUTE('Special Help Table'!$A733,"and",""))=3,LEN('Special Help Table'!$A733)-LEN(SUBSTITUTE('Special Help Table'!$A733,",",""))=1,LEN('Special Help Table'!$A733)-LEN(SUBSTITUTE('Special Help Table'!$A733," ",""))=3),'Special Help Table'!$A733)</f>
        <v xml:space="preserve"> Carl R. Trueman</v>
      </c>
      <c r="C733" s="4" t="s">
        <v>1351</v>
      </c>
      <c r="D733" s="2"/>
      <c r="E733" s="2" t="s">
        <v>16</v>
      </c>
      <c r="F733" s="2" t="s">
        <v>20</v>
      </c>
      <c r="G733" s="2"/>
      <c r="H733" s="2"/>
      <c r="I733" s="2"/>
      <c r="J733" s="2" t="s">
        <v>1214</v>
      </c>
      <c r="K733" s="3">
        <v>43160</v>
      </c>
      <c r="L733" s="2"/>
      <c r="M733" s="2"/>
      <c r="N733" s="2" t="s">
        <v>18</v>
      </c>
    </row>
    <row r="734" spans="1:14" ht="15.75" customHeight="1" x14ac:dyDescent="0.35">
      <c r="A734" s="2" t="s">
        <v>1350</v>
      </c>
      <c r="B734" s="2" t="str" cm="1">
        <f t="array" ref="B734">_xlfn.IFS(AND(LEN('Special Help Table'!$A734)-(LEN(SUBSTITUTE('Special Help Table'!$A734,";","")))=0,LEN('Special Help Table'!$A734)-LEN(SUBSTITUTE('Special Help Table'!$A734,",",""))=1,LEN('Special Help Table'!$A734)-LEN(SUBSTITUTE('Special Help Table'!$A734,"and ",""))=0),MID('Special Help Table'!$A734&amp;" "&amp;'Special Help Table'!$A734,SEARCH(", ",'Special Help Table'!$A734)+1,LEN('Special Help Table'!$A734)),AND(LEN('Special Help Table'!$A734)-(LEN(SUBSTITUTE('Special Help Table'!$A734,";","")))=1,LEN('Special Help Table'!$A734)-LEN(SUBSTITUTE('Special Help Table'!$A734,"and ",""))=0),MID('Special Help Table'!$A734,SEARCH(",",'Special Help Table'!$A734)+1,(SEARCH(";",'Special Help Table'!$A734)-1)-SEARCH(",",'Special Help Table'!$A734))&amp;" "&amp;LEFT('Special Help Table'!$A734,SEARCH(",",'Special Help Table'!$A734)-1)&amp;";"&amp;RIGHT('Special Help Table'!$A734,LEN('Special Help Table'!$A734)-SEARCH(",",'Special Help Table'!$A734,SEARCH(";",'Special Help Table'!$A734)))&amp;" "&amp;MID('Special Help Table'!$A734,SEARCH("; ",'Special Help Table'!$A734)+2,SEARCH(",",'Special Help Table'!$A734,SEARCH(";",'Special Help Table'!$A734))-SEARCH(";",'Special Help Table'!$A734)-2),AND(LEN('Special Help Table'!$A734)-LEN(SUBSTITUTE('Special Help Table'!$A734,"and ",""))=0,LEN('Special Help Table'!$A734)-LEN(SUBSTITUTE('Special Help Table'!$A734,";",""))=0),'Special Help Table'!$A734,AND(LEN('Special Help Table'!$A734)-LEN(SUBSTITUTE('Special Help Table'!$A734,",","")=1),LEN('Special Help Table'!$A734)-LEN(SUBSTITUTE('Special Help Table'!$A734," ","")=20),LEN('Special Help Table'!$A734)-LEN(SUBSTITUTE('Special Help Table'!$A734," and",""))=0,LEN('Special Help Table'!$A734)-LEN(SUBSTITUTE('Special Help Table'!$A734,",","",FIND(" ",'Special Help Table'!$A734)+1))=0),RIGHT('Special Help Table'!$A734,LEN('Special Help Table'!$A734)-FIND(", ",'Special Help Table'!$A734))&amp;" "&amp;LEFT('Special Help Table'!$A734,FIND(",",'Special Help Table'!$A734)-1),AND(LEN('Special Help Table'!$A734)-LEN(SUBSTITUTE('Special Help Table'!$A734,"editor",""))=6,LEN('Special Help Table'!$A734)-LEN(SUBSTITUTE('Special Help Table'!$A734,"(",""))=0,LEN('Special Help Table'!$A734)-LEN(SUBSTITUTE('Special Help Table'!$A734,"and",""))=3,LEN('Special Help Table'!$A734)-LEN(SUBSTITUTE('Special Help Table'!$A734,",",""))=1,LEN('Special Help Table'!$A734)-LEN(SUBSTITUTE('Special Help Table'!$A734," ",""))=3),'Special Help Table'!$A734)</f>
        <v xml:space="preserve"> Carl R. Trueman</v>
      </c>
      <c r="C734" s="4" t="s">
        <v>1352</v>
      </c>
      <c r="D734" s="2" t="s">
        <v>75</v>
      </c>
      <c r="E734" s="2" t="s">
        <v>16</v>
      </c>
      <c r="F734" s="2" t="s">
        <v>28</v>
      </c>
      <c r="G734" s="2" t="s">
        <v>126</v>
      </c>
      <c r="H734" s="2"/>
      <c r="I734" s="2"/>
      <c r="J734" s="2"/>
      <c r="K734" s="3">
        <v>43211</v>
      </c>
      <c r="L734" s="2"/>
      <c r="M734" s="2"/>
      <c r="N734" s="2" t="s">
        <v>18</v>
      </c>
    </row>
    <row r="735" spans="1:14" ht="15.75" customHeight="1" x14ac:dyDescent="0.35">
      <c r="A735" s="2" t="s">
        <v>1350</v>
      </c>
      <c r="B735" s="2" t="str" cm="1">
        <f t="array" ref="B735">_xlfn.IFS(AND(LEN('Special Help Table'!$A735)-(LEN(SUBSTITUTE('Special Help Table'!$A735,";","")))=0,LEN('Special Help Table'!$A735)-LEN(SUBSTITUTE('Special Help Table'!$A735,",",""))=1,LEN('Special Help Table'!$A735)-LEN(SUBSTITUTE('Special Help Table'!$A735,"and ",""))=0),MID('Special Help Table'!$A735&amp;" "&amp;'Special Help Table'!$A735,SEARCH(", ",'Special Help Table'!$A735)+1,LEN('Special Help Table'!$A735)),AND(LEN('Special Help Table'!$A735)-(LEN(SUBSTITUTE('Special Help Table'!$A735,";","")))=1,LEN('Special Help Table'!$A735)-LEN(SUBSTITUTE('Special Help Table'!$A735,"and ",""))=0),MID('Special Help Table'!$A735,SEARCH(",",'Special Help Table'!$A735)+1,(SEARCH(";",'Special Help Table'!$A735)-1)-SEARCH(",",'Special Help Table'!$A735))&amp;" "&amp;LEFT('Special Help Table'!$A735,SEARCH(",",'Special Help Table'!$A735)-1)&amp;";"&amp;RIGHT('Special Help Table'!$A735,LEN('Special Help Table'!$A735)-SEARCH(",",'Special Help Table'!$A735,SEARCH(";",'Special Help Table'!$A735)))&amp;" "&amp;MID('Special Help Table'!$A735,SEARCH("; ",'Special Help Table'!$A735)+2,SEARCH(",",'Special Help Table'!$A735,SEARCH(";",'Special Help Table'!$A735))-SEARCH(";",'Special Help Table'!$A735)-2),AND(LEN('Special Help Table'!$A735)-LEN(SUBSTITUTE('Special Help Table'!$A735,"and ",""))=0,LEN('Special Help Table'!$A735)-LEN(SUBSTITUTE('Special Help Table'!$A735,";",""))=0),'Special Help Table'!$A735,AND(LEN('Special Help Table'!$A735)-LEN(SUBSTITUTE('Special Help Table'!$A735,",","")=1),LEN('Special Help Table'!$A735)-LEN(SUBSTITUTE('Special Help Table'!$A735," ","")=20),LEN('Special Help Table'!$A735)-LEN(SUBSTITUTE('Special Help Table'!$A735," and",""))=0,LEN('Special Help Table'!$A735)-LEN(SUBSTITUTE('Special Help Table'!$A735,",","",FIND(" ",'Special Help Table'!$A735)+1))=0),RIGHT('Special Help Table'!$A735,LEN('Special Help Table'!$A735)-FIND(", ",'Special Help Table'!$A735))&amp;" "&amp;LEFT('Special Help Table'!$A735,FIND(",",'Special Help Table'!$A735)-1),AND(LEN('Special Help Table'!$A735)-LEN(SUBSTITUTE('Special Help Table'!$A735,"editor",""))=6,LEN('Special Help Table'!$A735)-LEN(SUBSTITUTE('Special Help Table'!$A735,"(",""))=0,LEN('Special Help Table'!$A735)-LEN(SUBSTITUTE('Special Help Table'!$A735,"and",""))=3,LEN('Special Help Table'!$A735)-LEN(SUBSTITUTE('Special Help Table'!$A735,",",""))=1,LEN('Special Help Table'!$A735)-LEN(SUBSTITUTE('Special Help Table'!$A735," ",""))=3),'Special Help Table'!$A735)</f>
        <v xml:space="preserve"> Carl R. Trueman</v>
      </c>
      <c r="C735" s="4" t="s">
        <v>1353</v>
      </c>
      <c r="D735" s="2"/>
      <c r="E735" s="2" t="s">
        <v>16</v>
      </c>
      <c r="F735" s="2" t="s">
        <v>17</v>
      </c>
      <c r="G735" s="2"/>
      <c r="H735" s="2"/>
      <c r="I735" s="2"/>
      <c r="J735" s="2"/>
      <c r="K735" s="3">
        <v>44772</v>
      </c>
      <c r="L735" s="2"/>
      <c r="M735" s="2"/>
      <c r="N735" s="2" t="s">
        <v>18</v>
      </c>
    </row>
    <row r="736" spans="1:14" ht="15.75" customHeight="1" x14ac:dyDescent="0.35">
      <c r="A736" s="2" t="s">
        <v>1354</v>
      </c>
      <c r="B736" s="2" t="str" cm="1">
        <f t="array" ref="B736">_xlfn.IFS(AND(LEN('Special Help Table'!$A736)-(LEN(SUBSTITUTE('Special Help Table'!$A736,";","")))=0,LEN('Special Help Table'!$A736)-LEN(SUBSTITUTE('Special Help Table'!$A736,",",""))=1,LEN('Special Help Table'!$A736)-LEN(SUBSTITUTE('Special Help Table'!$A736,"and ",""))=0),MID('Special Help Table'!$A736&amp;" "&amp;'Special Help Table'!$A736,SEARCH(", ",'Special Help Table'!$A736)+1,LEN('Special Help Table'!$A736)),AND(LEN('Special Help Table'!$A736)-(LEN(SUBSTITUTE('Special Help Table'!$A736,";","")))=1,LEN('Special Help Table'!$A736)-LEN(SUBSTITUTE('Special Help Table'!$A736,"and ",""))=0),MID('Special Help Table'!$A736,SEARCH(",",'Special Help Table'!$A736)+1,(SEARCH(";",'Special Help Table'!$A736)-1)-SEARCH(",",'Special Help Table'!$A736))&amp;" "&amp;LEFT('Special Help Table'!$A736,SEARCH(",",'Special Help Table'!$A736)-1)&amp;";"&amp;RIGHT('Special Help Table'!$A736,LEN('Special Help Table'!$A736)-SEARCH(",",'Special Help Table'!$A736,SEARCH(";",'Special Help Table'!$A736)))&amp;" "&amp;MID('Special Help Table'!$A736,SEARCH("; ",'Special Help Table'!$A736)+2,SEARCH(",",'Special Help Table'!$A736,SEARCH(";",'Special Help Table'!$A736))-SEARCH(";",'Special Help Table'!$A736)-2),AND(LEN('Special Help Table'!$A736)-LEN(SUBSTITUTE('Special Help Table'!$A736,"and ",""))=0,LEN('Special Help Table'!$A736)-LEN(SUBSTITUTE('Special Help Table'!$A736,";",""))=0),'Special Help Table'!$A736,AND(LEN('Special Help Table'!$A736)-LEN(SUBSTITUTE('Special Help Table'!$A736,",","")=1),LEN('Special Help Table'!$A736)-LEN(SUBSTITUTE('Special Help Table'!$A736," ","")=20),LEN('Special Help Table'!$A736)-LEN(SUBSTITUTE('Special Help Table'!$A736," and",""))=0,LEN('Special Help Table'!$A736)-LEN(SUBSTITUTE('Special Help Table'!$A736,",","",FIND(" ",'Special Help Table'!$A736)+1))=0),RIGHT('Special Help Table'!$A736,LEN('Special Help Table'!$A736)-FIND(", ",'Special Help Table'!$A736))&amp;" "&amp;LEFT('Special Help Table'!$A736,FIND(",",'Special Help Table'!$A736)-1),AND(LEN('Special Help Table'!$A736)-LEN(SUBSTITUTE('Special Help Table'!$A736,"editor",""))=6,LEN('Special Help Table'!$A736)-LEN(SUBSTITUTE('Special Help Table'!$A736,"(",""))=0,LEN('Special Help Table'!$A736)-LEN(SUBSTITUTE('Special Help Table'!$A736,"and",""))=3,LEN('Special Help Table'!$A736)-LEN(SUBSTITUTE('Special Help Table'!$A736,",",""))=1,LEN('Special Help Table'!$A736)-LEN(SUBSTITUTE('Special Help Table'!$A736," ",""))=3),'Special Help Table'!$A736)</f>
        <v xml:space="preserve"> Abigail Van Der Velde</v>
      </c>
      <c r="C736" s="4" t="s">
        <v>1355</v>
      </c>
      <c r="D736" s="2"/>
      <c r="E736" s="2" t="s">
        <v>16</v>
      </c>
      <c r="F736" s="2" t="s">
        <v>72</v>
      </c>
      <c r="G736" s="2"/>
      <c r="H736" s="2"/>
      <c r="I736" s="2"/>
      <c r="J736" s="2"/>
      <c r="K736" s="3"/>
      <c r="L736" s="2"/>
      <c r="M736" s="2"/>
      <c r="N736" s="2" t="s">
        <v>18</v>
      </c>
    </row>
    <row r="737" spans="1:14" ht="15.75" customHeight="1" x14ac:dyDescent="0.35">
      <c r="A737" s="2" t="s">
        <v>1356</v>
      </c>
      <c r="B737" s="2" t="str" cm="1">
        <f t="array" ref="B737">_xlfn.IFS(AND(LEN('Special Help Table'!$A737)-(LEN(SUBSTITUTE('Special Help Table'!$A737,";","")))=0,LEN('Special Help Table'!$A737)-LEN(SUBSTITUTE('Special Help Table'!$A737,",",""))=1,LEN('Special Help Table'!$A737)-LEN(SUBSTITUTE('Special Help Table'!$A737,"and ",""))=0),MID('Special Help Table'!$A737&amp;" "&amp;'Special Help Table'!$A737,SEARCH(", ",'Special Help Table'!$A737)+1,LEN('Special Help Table'!$A737)),AND(LEN('Special Help Table'!$A737)-(LEN(SUBSTITUTE('Special Help Table'!$A737,";","")))=1,LEN('Special Help Table'!$A737)-LEN(SUBSTITUTE('Special Help Table'!$A737,"and ",""))=0),MID('Special Help Table'!$A737,SEARCH(",",'Special Help Table'!$A737)+1,(SEARCH(";",'Special Help Table'!$A737)-1)-SEARCH(",",'Special Help Table'!$A737))&amp;" "&amp;LEFT('Special Help Table'!$A737,SEARCH(",",'Special Help Table'!$A737)-1)&amp;";"&amp;RIGHT('Special Help Table'!$A737,LEN('Special Help Table'!$A737)-SEARCH(",",'Special Help Table'!$A737,SEARCH(";",'Special Help Table'!$A737)))&amp;" "&amp;MID('Special Help Table'!$A737,SEARCH("; ",'Special Help Table'!$A737)+2,SEARCH(",",'Special Help Table'!$A737,SEARCH(";",'Special Help Table'!$A737))-SEARCH(";",'Special Help Table'!$A737)-2),AND(LEN('Special Help Table'!$A737)-LEN(SUBSTITUTE('Special Help Table'!$A737,"and ",""))=0,LEN('Special Help Table'!$A737)-LEN(SUBSTITUTE('Special Help Table'!$A737,";",""))=0),'Special Help Table'!$A737,AND(LEN('Special Help Table'!$A737)-LEN(SUBSTITUTE('Special Help Table'!$A737,",","")=1),LEN('Special Help Table'!$A737)-LEN(SUBSTITUTE('Special Help Table'!$A737," ","")=20),LEN('Special Help Table'!$A737)-LEN(SUBSTITUTE('Special Help Table'!$A737," and",""))=0,LEN('Special Help Table'!$A737)-LEN(SUBSTITUTE('Special Help Table'!$A737,",","",FIND(" ",'Special Help Table'!$A737)+1))=0),RIGHT('Special Help Table'!$A737,LEN('Special Help Table'!$A737)-FIND(", ",'Special Help Table'!$A737))&amp;" "&amp;LEFT('Special Help Table'!$A737,FIND(",",'Special Help Table'!$A737)-1),AND(LEN('Special Help Table'!$A737)-LEN(SUBSTITUTE('Special Help Table'!$A737,"editor",""))=6,LEN('Special Help Table'!$A737)-LEN(SUBSTITUTE('Special Help Table'!$A737,"(",""))=0,LEN('Special Help Table'!$A737)-LEN(SUBSTITUTE('Special Help Table'!$A737,"and",""))=3,LEN('Special Help Table'!$A737)-LEN(SUBSTITUTE('Special Help Table'!$A737,",",""))=1,LEN('Special Help Table'!$A737)-LEN(SUBSTITUTE('Special Help Table'!$A737," ",""))=3),'Special Help Table'!$A737)</f>
        <v xml:space="preserve"> Rebecca VanDoodewaard</v>
      </c>
      <c r="C737" s="4" t="s">
        <v>1357</v>
      </c>
      <c r="D737" s="2" t="s">
        <v>1358</v>
      </c>
      <c r="E737" s="2" t="s">
        <v>16</v>
      </c>
      <c r="F737" s="2" t="s">
        <v>72</v>
      </c>
      <c r="G737" s="2"/>
      <c r="H737" s="2"/>
      <c r="I737" s="2"/>
      <c r="J737" s="2"/>
      <c r="K737" s="3">
        <v>43160</v>
      </c>
      <c r="L737" s="2" t="s">
        <v>1359</v>
      </c>
      <c r="M737" s="2"/>
      <c r="N737" s="2" t="s">
        <v>18</v>
      </c>
    </row>
    <row r="738" spans="1:14" ht="15.75" customHeight="1" x14ac:dyDescent="0.35">
      <c r="A738" s="2" t="s">
        <v>1356</v>
      </c>
      <c r="B738" s="2" t="str" cm="1">
        <f t="array" ref="B738">_xlfn.IFS(AND(LEN('Special Help Table'!$A738)-(LEN(SUBSTITUTE('Special Help Table'!$A738,";","")))=0,LEN('Special Help Table'!$A738)-LEN(SUBSTITUTE('Special Help Table'!$A738,",",""))=1,LEN('Special Help Table'!$A738)-LEN(SUBSTITUTE('Special Help Table'!$A738,"and ",""))=0),MID('Special Help Table'!$A738&amp;" "&amp;'Special Help Table'!$A738,SEARCH(", ",'Special Help Table'!$A738)+1,LEN('Special Help Table'!$A738)),AND(LEN('Special Help Table'!$A738)-(LEN(SUBSTITUTE('Special Help Table'!$A738,";","")))=1,LEN('Special Help Table'!$A738)-LEN(SUBSTITUTE('Special Help Table'!$A738,"and ",""))=0),MID('Special Help Table'!$A738,SEARCH(",",'Special Help Table'!$A738)+1,(SEARCH(";",'Special Help Table'!$A738)-1)-SEARCH(",",'Special Help Table'!$A738))&amp;" "&amp;LEFT('Special Help Table'!$A738,SEARCH(",",'Special Help Table'!$A738)-1)&amp;";"&amp;RIGHT('Special Help Table'!$A738,LEN('Special Help Table'!$A738)-SEARCH(",",'Special Help Table'!$A738,SEARCH(";",'Special Help Table'!$A738)))&amp;" "&amp;MID('Special Help Table'!$A738,SEARCH("; ",'Special Help Table'!$A738)+2,SEARCH(",",'Special Help Table'!$A738,SEARCH(";",'Special Help Table'!$A738))-SEARCH(";",'Special Help Table'!$A738)-2),AND(LEN('Special Help Table'!$A738)-LEN(SUBSTITUTE('Special Help Table'!$A738,"and ",""))=0,LEN('Special Help Table'!$A738)-LEN(SUBSTITUTE('Special Help Table'!$A738,";",""))=0),'Special Help Table'!$A738,AND(LEN('Special Help Table'!$A738)-LEN(SUBSTITUTE('Special Help Table'!$A738,",","")=1),LEN('Special Help Table'!$A738)-LEN(SUBSTITUTE('Special Help Table'!$A738," ","")=20),LEN('Special Help Table'!$A738)-LEN(SUBSTITUTE('Special Help Table'!$A738," and",""))=0,LEN('Special Help Table'!$A738)-LEN(SUBSTITUTE('Special Help Table'!$A738,",","",FIND(" ",'Special Help Table'!$A738)+1))=0),RIGHT('Special Help Table'!$A738,LEN('Special Help Table'!$A738)-FIND(", ",'Special Help Table'!$A738))&amp;" "&amp;LEFT('Special Help Table'!$A738,FIND(",",'Special Help Table'!$A738)-1),AND(LEN('Special Help Table'!$A738)-LEN(SUBSTITUTE('Special Help Table'!$A738,"editor",""))=6,LEN('Special Help Table'!$A738)-LEN(SUBSTITUTE('Special Help Table'!$A738,"(",""))=0,LEN('Special Help Table'!$A738)-LEN(SUBSTITUTE('Special Help Table'!$A738,"and",""))=3,LEN('Special Help Table'!$A738)-LEN(SUBSTITUTE('Special Help Table'!$A738,",",""))=1,LEN('Special Help Table'!$A738)-LEN(SUBSTITUTE('Special Help Table'!$A738," ",""))=3),'Special Help Table'!$A738)</f>
        <v xml:space="preserve"> Rebecca VanDoodewaard</v>
      </c>
      <c r="C738" s="4" t="s">
        <v>1360</v>
      </c>
      <c r="D738" s="2" t="s">
        <v>1358</v>
      </c>
      <c r="E738" s="2" t="s">
        <v>16</v>
      </c>
      <c r="F738" s="2" t="s">
        <v>72</v>
      </c>
      <c r="G738" s="2"/>
      <c r="H738" s="2"/>
      <c r="I738" s="2"/>
      <c r="J738" s="2"/>
      <c r="K738" s="3">
        <v>43160</v>
      </c>
      <c r="L738" s="2"/>
      <c r="M738" s="2"/>
      <c r="N738" s="2" t="s">
        <v>18</v>
      </c>
    </row>
    <row r="739" spans="1:14" ht="15.75" customHeight="1" x14ac:dyDescent="0.35">
      <c r="A739" s="2" t="s">
        <v>1356</v>
      </c>
      <c r="B739" s="2" t="str" cm="1">
        <f t="array" ref="B739">_xlfn.IFS(AND(LEN('Special Help Table'!$A739)-(LEN(SUBSTITUTE('Special Help Table'!$A739,";","")))=0,LEN('Special Help Table'!$A739)-LEN(SUBSTITUTE('Special Help Table'!$A739,",",""))=1,LEN('Special Help Table'!$A739)-LEN(SUBSTITUTE('Special Help Table'!$A739,"and ",""))=0),MID('Special Help Table'!$A739&amp;" "&amp;'Special Help Table'!$A739,SEARCH(", ",'Special Help Table'!$A739)+1,LEN('Special Help Table'!$A739)),AND(LEN('Special Help Table'!$A739)-(LEN(SUBSTITUTE('Special Help Table'!$A739,";","")))=1,LEN('Special Help Table'!$A739)-LEN(SUBSTITUTE('Special Help Table'!$A739,"and ",""))=0),MID('Special Help Table'!$A739,SEARCH(",",'Special Help Table'!$A739)+1,(SEARCH(";",'Special Help Table'!$A739)-1)-SEARCH(",",'Special Help Table'!$A739))&amp;" "&amp;LEFT('Special Help Table'!$A739,SEARCH(",",'Special Help Table'!$A739)-1)&amp;";"&amp;RIGHT('Special Help Table'!$A739,LEN('Special Help Table'!$A739)-SEARCH(",",'Special Help Table'!$A739,SEARCH(";",'Special Help Table'!$A739)))&amp;" "&amp;MID('Special Help Table'!$A739,SEARCH("; ",'Special Help Table'!$A739)+2,SEARCH(",",'Special Help Table'!$A739,SEARCH(";",'Special Help Table'!$A739))-SEARCH(";",'Special Help Table'!$A739)-2),AND(LEN('Special Help Table'!$A739)-LEN(SUBSTITUTE('Special Help Table'!$A739,"and ",""))=0,LEN('Special Help Table'!$A739)-LEN(SUBSTITUTE('Special Help Table'!$A739,";",""))=0),'Special Help Table'!$A739,AND(LEN('Special Help Table'!$A739)-LEN(SUBSTITUTE('Special Help Table'!$A739,",","")=1),LEN('Special Help Table'!$A739)-LEN(SUBSTITUTE('Special Help Table'!$A739," ","")=20),LEN('Special Help Table'!$A739)-LEN(SUBSTITUTE('Special Help Table'!$A739," and",""))=0,LEN('Special Help Table'!$A739)-LEN(SUBSTITUTE('Special Help Table'!$A739,",","",FIND(" ",'Special Help Table'!$A739)+1))=0),RIGHT('Special Help Table'!$A739,LEN('Special Help Table'!$A739)-FIND(", ",'Special Help Table'!$A739))&amp;" "&amp;LEFT('Special Help Table'!$A739,FIND(",",'Special Help Table'!$A739)-1),AND(LEN('Special Help Table'!$A739)-LEN(SUBSTITUTE('Special Help Table'!$A739,"editor",""))=6,LEN('Special Help Table'!$A739)-LEN(SUBSTITUTE('Special Help Table'!$A739,"(",""))=0,LEN('Special Help Table'!$A739)-LEN(SUBSTITUTE('Special Help Table'!$A739,"and",""))=3,LEN('Special Help Table'!$A739)-LEN(SUBSTITUTE('Special Help Table'!$A739,",",""))=1,LEN('Special Help Table'!$A739)-LEN(SUBSTITUTE('Special Help Table'!$A739," ",""))=3),'Special Help Table'!$A739)</f>
        <v xml:space="preserve"> Rebecca VanDoodewaard</v>
      </c>
      <c r="C739" s="4" t="s">
        <v>1361</v>
      </c>
      <c r="D739" s="2" t="s">
        <v>1358</v>
      </c>
      <c r="E739" s="2" t="s">
        <v>16</v>
      </c>
      <c r="F739" s="2" t="s">
        <v>72</v>
      </c>
      <c r="G739" s="2"/>
      <c r="H739" s="2"/>
      <c r="I739" s="2"/>
      <c r="J739" s="2"/>
      <c r="K739" s="3">
        <v>43160</v>
      </c>
      <c r="L739" s="2"/>
      <c r="M739" s="2"/>
      <c r="N739" s="2" t="s">
        <v>18</v>
      </c>
    </row>
    <row r="740" spans="1:14" ht="15.75" customHeight="1" x14ac:dyDescent="0.35">
      <c r="A740" s="2" t="s">
        <v>1356</v>
      </c>
      <c r="B740" s="2" t="str" cm="1">
        <f t="array" ref="B740">_xlfn.IFS(AND(LEN('Special Help Table'!$A740)-(LEN(SUBSTITUTE('Special Help Table'!$A740,";","")))=0,LEN('Special Help Table'!$A740)-LEN(SUBSTITUTE('Special Help Table'!$A740,",",""))=1,LEN('Special Help Table'!$A740)-LEN(SUBSTITUTE('Special Help Table'!$A740,"and ",""))=0),MID('Special Help Table'!$A740&amp;" "&amp;'Special Help Table'!$A740,SEARCH(", ",'Special Help Table'!$A740)+1,LEN('Special Help Table'!$A740)),AND(LEN('Special Help Table'!$A740)-(LEN(SUBSTITUTE('Special Help Table'!$A740,";","")))=1,LEN('Special Help Table'!$A740)-LEN(SUBSTITUTE('Special Help Table'!$A740,"and ",""))=0),MID('Special Help Table'!$A740,SEARCH(",",'Special Help Table'!$A740)+1,(SEARCH(";",'Special Help Table'!$A740)-1)-SEARCH(",",'Special Help Table'!$A740))&amp;" "&amp;LEFT('Special Help Table'!$A740,SEARCH(",",'Special Help Table'!$A740)-1)&amp;";"&amp;RIGHT('Special Help Table'!$A740,LEN('Special Help Table'!$A740)-SEARCH(",",'Special Help Table'!$A740,SEARCH(";",'Special Help Table'!$A740)))&amp;" "&amp;MID('Special Help Table'!$A740,SEARCH("; ",'Special Help Table'!$A740)+2,SEARCH(",",'Special Help Table'!$A740,SEARCH(";",'Special Help Table'!$A740))-SEARCH(";",'Special Help Table'!$A740)-2),AND(LEN('Special Help Table'!$A740)-LEN(SUBSTITUTE('Special Help Table'!$A740,"and ",""))=0,LEN('Special Help Table'!$A740)-LEN(SUBSTITUTE('Special Help Table'!$A740,";",""))=0),'Special Help Table'!$A740,AND(LEN('Special Help Table'!$A740)-LEN(SUBSTITUTE('Special Help Table'!$A740,",","")=1),LEN('Special Help Table'!$A740)-LEN(SUBSTITUTE('Special Help Table'!$A740," ","")=20),LEN('Special Help Table'!$A740)-LEN(SUBSTITUTE('Special Help Table'!$A740," and",""))=0,LEN('Special Help Table'!$A740)-LEN(SUBSTITUTE('Special Help Table'!$A740,",","",FIND(" ",'Special Help Table'!$A740)+1))=0),RIGHT('Special Help Table'!$A740,LEN('Special Help Table'!$A740)-FIND(", ",'Special Help Table'!$A740))&amp;" "&amp;LEFT('Special Help Table'!$A740,FIND(",",'Special Help Table'!$A740)-1),AND(LEN('Special Help Table'!$A740)-LEN(SUBSTITUTE('Special Help Table'!$A740,"editor",""))=6,LEN('Special Help Table'!$A740)-LEN(SUBSTITUTE('Special Help Table'!$A740,"(",""))=0,LEN('Special Help Table'!$A740)-LEN(SUBSTITUTE('Special Help Table'!$A740,"and",""))=3,LEN('Special Help Table'!$A740)-LEN(SUBSTITUTE('Special Help Table'!$A740,",",""))=1,LEN('Special Help Table'!$A740)-LEN(SUBSTITUTE('Special Help Table'!$A740," ",""))=3),'Special Help Table'!$A740)</f>
        <v xml:space="preserve"> Rebecca VanDoodewaard</v>
      </c>
      <c r="C740" s="4" t="s">
        <v>1362</v>
      </c>
      <c r="D740" s="2" t="s">
        <v>1358</v>
      </c>
      <c r="E740" s="2" t="s">
        <v>16</v>
      </c>
      <c r="F740" s="2" t="s">
        <v>72</v>
      </c>
      <c r="G740" s="2"/>
      <c r="H740" s="2"/>
      <c r="I740" s="2"/>
      <c r="J740" s="2"/>
      <c r="K740" s="3">
        <v>43160</v>
      </c>
      <c r="L740" s="2"/>
      <c r="M740" s="2"/>
      <c r="N740" s="2" t="s">
        <v>18</v>
      </c>
    </row>
    <row r="741" spans="1:14" ht="15.75" customHeight="1" x14ac:dyDescent="0.35">
      <c r="A741" s="2" t="s">
        <v>1363</v>
      </c>
      <c r="B741" s="2" t="str" cm="1">
        <f t="array" ref="B741">_xlfn.IFS(AND(LEN('Special Help Table'!$A741)-(LEN(SUBSTITUTE('Special Help Table'!$A741,";","")))=0,LEN('Special Help Table'!$A741)-LEN(SUBSTITUTE('Special Help Table'!$A741,",",""))=1,LEN('Special Help Table'!$A741)-LEN(SUBSTITUTE('Special Help Table'!$A741,"and ",""))=0),MID('Special Help Table'!$A741&amp;" "&amp;'Special Help Table'!$A741,SEARCH(", ",'Special Help Table'!$A741)+1,LEN('Special Help Table'!$A741)),AND(LEN('Special Help Table'!$A741)-(LEN(SUBSTITUTE('Special Help Table'!$A741,";","")))=1,LEN('Special Help Table'!$A741)-LEN(SUBSTITUTE('Special Help Table'!$A741,"and ",""))=0),MID('Special Help Table'!$A741,SEARCH(",",'Special Help Table'!$A741)+1,(SEARCH(";",'Special Help Table'!$A741)-1)-SEARCH(",",'Special Help Table'!$A741))&amp;" "&amp;LEFT('Special Help Table'!$A741,SEARCH(",",'Special Help Table'!$A741)-1)&amp;";"&amp;RIGHT('Special Help Table'!$A741,LEN('Special Help Table'!$A741)-SEARCH(",",'Special Help Table'!$A741,SEARCH(";",'Special Help Table'!$A741)))&amp;" "&amp;MID('Special Help Table'!$A741,SEARCH("; ",'Special Help Table'!$A741)+2,SEARCH(",",'Special Help Table'!$A741,SEARCH(";",'Special Help Table'!$A741))-SEARCH(";",'Special Help Table'!$A741)-2),AND(LEN('Special Help Table'!$A741)-LEN(SUBSTITUTE('Special Help Table'!$A741,"and ",""))=0,LEN('Special Help Table'!$A741)-LEN(SUBSTITUTE('Special Help Table'!$A741,";",""))=0),'Special Help Table'!$A741,AND(LEN('Special Help Table'!$A741)-LEN(SUBSTITUTE('Special Help Table'!$A741,",","")=1),LEN('Special Help Table'!$A741)-LEN(SUBSTITUTE('Special Help Table'!$A741," ","")=20),LEN('Special Help Table'!$A741)-LEN(SUBSTITUTE('Special Help Table'!$A741," and",""))=0,LEN('Special Help Table'!$A741)-LEN(SUBSTITUTE('Special Help Table'!$A741,",","",FIND(" ",'Special Help Table'!$A741)+1))=0),RIGHT('Special Help Table'!$A741,LEN('Special Help Table'!$A741)-FIND(", ",'Special Help Table'!$A741))&amp;" "&amp;LEFT('Special Help Table'!$A741,FIND(",",'Special Help Table'!$A741)-1),AND(LEN('Special Help Table'!$A741)-LEN(SUBSTITUTE('Special Help Table'!$A741,"editor",""))=6,LEN('Special Help Table'!$A741)-LEN(SUBSTITUTE('Special Help Table'!$A741,"(",""))=0,LEN('Special Help Table'!$A741)-LEN(SUBSTITUTE('Special Help Table'!$A741,"and",""))=3,LEN('Special Help Table'!$A741)-LEN(SUBSTITUTE('Special Help Table'!$A741,",",""))=1,LEN('Special Help Table'!$A741)-LEN(SUBSTITUTE('Special Help Table'!$A741," ",""))=3),'Special Help Table'!$A741)</f>
        <v xml:space="preserve"> David Vandrunen</v>
      </c>
      <c r="C741" s="4" t="s">
        <v>1364</v>
      </c>
      <c r="D741" s="2" t="s">
        <v>75</v>
      </c>
      <c r="E741" s="2" t="s">
        <v>16</v>
      </c>
      <c r="F741" s="2" t="s">
        <v>28</v>
      </c>
      <c r="G741" s="2"/>
      <c r="H741" s="2"/>
      <c r="I741" s="2"/>
      <c r="J741" s="2"/>
      <c r="K741" s="3">
        <v>43211</v>
      </c>
      <c r="L741" s="2"/>
      <c r="M741" s="2"/>
      <c r="N741" s="2" t="s">
        <v>18</v>
      </c>
    </row>
    <row r="742" spans="1:14" ht="15.75" customHeight="1" x14ac:dyDescent="0.35">
      <c r="A742" s="2" t="s">
        <v>1365</v>
      </c>
      <c r="B742" s="2" t="str" cm="1">
        <f t="array" ref="B742">_xlfn.IFS(AND(LEN('Special Help Table'!$A742)-(LEN(SUBSTITUTE('Special Help Table'!$A742,";","")))=0,LEN('Special Help Table'!$A742)-LEN(SUBSTITUTE('Special Help Table'!$A742,",",""))=1,LEN('Special Help Table'!$A742)-LEN(SUBSTITUTE('Special Help Table'!$A742,"and ",""))=0),MID('Special Help Table'!$A742&amp;" "&amp;'Special Help Table'!$A742,SEARCH(", ",'Special Help Table'!$A742)+1,LEN('Special Help Table'!$A742)),AND(LEN('Special Help Table'!$A742)-(LEN(SUBSTITUTE('Special Help Table'!$A742,";","")))=1,LEN('Special Help Table'!$A742)-LEN(SUBSTITUTE('Special Help Table'!$A742,"and ",""))=0),MID('Special Help Table'!$A742,SEARCH(",",'Special Help Table'!$A742)+1,(SEARCH(";",'Special Help Table'!$A742)-1)-SEARCH(",",'Special Help Table'!$A742))&amp;" "&amp;LEFT('Special Help Table'!$A742,SEARCH(",",'Special Help Table'!$A742)-1)&amp;";"&amp;RIGHT('Special Help Table'!$A742,LEN('Special Help Table'!$A742)-SEARCH(",",'Special Help Table'!$A742,SEARCH(";",'Special Help Table'!$A742)))&amp;" "&amp;MID('Special Help Table'!$A742,SEARCH("; ",'Special Help Table'!$A742)+2,SEARCH(",",'Special Help Table'!$A742,SEARCH(";",'Special Help Table'!$A742))-SEARCH(";",'Special Help Table'!$A742)-2),AND(LEN('Special Help Table'!$A742)-LEN(SUBSTITUTE('Special Help Table'!$A742,"and ",""))=0,LEN('Special Help Table'!$A742)-LEN(SUBSTITUTE('Special Help Table'!$A742,";",""))=0),'Special Help Table'!$A742,AND(LEN('Special Help Table'!$A742)-LEN(SUBSTITUTE('Special Help Table'!$A742,",","")=1),LEN('Special Help Table'!$A742)-LEN(SUBSTITUTE('Special Help Table'!$A742," ","")=20),LEN('Special Help Table'!$A742)-LEN(SUBSTITUTE('Special Help Table'!$A742," and",""))=0,LEN('Special Help Table'!$A742)-LEN(SUBSTITUTE('Special Help Table'!$A742,",","",FIND(" ",'Special Help Table'!$A742)+1))=0),RIGHT('Special Help Table'!$A742,LEN('Special Help Table'!$A742)-FIND(", ",'Special Help Table'!$A742))&amp;" "&amp;LEFT('Special Help Table'!$A742,FIND(",",'Special Help Table'!$A742)-1),AND(LEN('Special Help Table'!$A742)-LEN(SUBSTITUTE('Special Help Table'!$A742,"editor",""))=6,LEN('Special Help Table'!$A742)-LEN(SUBSTITUTE('Special Help Table'!$A742,"(",""))=0,LEN('Special Help Table'!$A742)-LEN(SUBSTITUTE('Special Help Table'!$A742,"and",""))=3,LEN('Special Help Table'!$A742)-LEN(SUBSTITUTE('Special Help Table'!$A742,",",""))=1,LEN('Special Help Table'!$A742)-LEN(SUBSTITUTE('Special Help Table'!$A742," ",""))=3),'Special Help Table'!$A742)</f>
        <v xml:space="preserve"> Ellen Vaughn</v>
      </c>
      <c r="C742" s="4" t="s">
        <v>1366</v>
      </c>
      <c r="D742" s="2"/>
      <c r="E742" s="2" t="s">
        <v>16</v>
      </c>
      <c r="F742" s="2" t="s">
        <v>39</v>
      </c>
      <c r="G742" s="2"/>
      <c r="H742" s="2"/>
      <c r="I742" s="2"/>
      <c r="J742" s="2" t="s">
        <v>59</v>
      </c>
      <c r="K742" s="3">
        <v>44688</v>
      </c>
      <c r="L742" s="2"/>
      <c r="M742" s="2"/>
      <c r="N742" s="2" t="s">
        <v>18</v>
      </c>
    </row>
    <row r="743" spans="1:14" ht="15.75" customHeight="1" x14ac:dyDescent="0.35">
      <c r="A743" s="2" t="s">
        <v>1367</v>
      </c>
      <c r="B743" s="2" t="str" cm="1">
        <f t="array" ref="B743">_xlfn.IFS(AND(LEN('Special Help Table'!$A743)-(LEN(SUBSTITUTE('Special Help Table'!$A743,";","")))=0,LEN('Special Help Table'!$A743)-LEN(SUBSTITUTE('Special Help Table'!$A743,",",""))=1,LEN('Special Help Table'!$A743)-LEN(SUBSTITUTE('Special Help Table'!$A743,"and ",""))=0),MID('Special Help Table'!$A743&amp;" "&amp;'Special Help Table'!$A743,SEARCH(", ",'Special Help Table'!$A743)+1,LEN('Special Help Table'!$A743)),AND(LEN('Special Help Table'!$A743)-(LEN(SUBSTITUTE('Special Help Table'!$A743,";","")))=1,LEN('Special Help Table'!$A743)-LEN(SUBSTITUTE('Special Help Table'!$A743,"and ",""))=0),MID('Special Help Table'!$A743,SEARCH(",",'Special Help Table'!$A743)+1,(SEARCH(";",'Special Help Table'!$A743)-1)-SEARCH(",",'Special Help Table'!$A743))&amp;" "&amp;LEFT('Special Help Table'!$A743,SEARCH(",",'Special Help Table'!$A743)-1)&amp;";"&amp;RIGHT('Special Help Table'!$A743,LEN('Special Help Table'!$A743)-SEARCH(",",'Special Help Table'!$A743,SEARCH(";",'Special Help Table'!$A743)))&amp;" "&amp;MID('Special Help Table'!$A743,SEARCH("; ",'Special Help Table'!$A743)+2,SEARCH(",",'Special Help Table'!$A743,SEARCH(";",'Special Help Table'!$A743))-SEARCH(";",'Special Help Table'!$A743)-2),AND(LEN('Special Help Table'!$A743)-LEN(SUBSTITUTE('Special Help Table'!$A743,"and ",""))=0,LEN('Special Help Table'!$A743)-LEN(SUBSTITUTE('Special Help Table'!$A743,";",""))=0),'Special Help Table'!$A743,AND(LEN('Special Help Table'!$A743)-LEN(SUBSTITUTE('Special Help Table'!$A743,",","")=1),LEN('Special Help Table'!$A743)-LEN(SUBSTITUTE('Special Help Table'!$A743," ","")=20),LEN('Special Help Table'!$A743)-LEN(SUBSTITUTE('Special Help Table'!$A743," and",""))=0,LEN('Special Help Table'!$A743)-LEN(SUBSTITUTE('Special Help Table'!$A743,",","",FIND(" ",'Special Help Table'!$A743)+1))=0),RIGHT('Special Help Table'!$A743,LEN('Special Help Table'!$A743)-FIND(", ",'Special Help Table'!$A743))&amp;" "&amp;LEFT('Special Help Table'!$A743,FIND(",",'Special Help Table'!$A743)-1),AND(LEN('Special Help Table'!$A743)-LEN(SUBSTITUTE('Special Help Table'!$A743,"editor",""))=6,LEN('Special Help Table'!$A743)-LEN(SUBSTITUTE('Special Help Table'!$A743,"(",""))=0,LEN('Special Help Table'!$A743)-LEN(SUBSTITUTE('Special Help Table'!$A743,"and",""))=3,LEN('Special Help Table'!$A743)-LEN(SUBSTITUTE('Special Help Table'!$A743,",",""))=1,LEN('Special Help Table'!$A743)-LEN(SUBSTITUTE('Special Help Table'!$A743," ",""))=3),'Special Help Table'!$A743)</f>
        <v xml:space="preserve"> Cornelis P. Venema</v>
      </c>
      <c r="C743" s="4" t="s">
        <v>1368</v>
      </c>
      <c r="D743" s="2"/>
      <c r="E743" s="2" t="s">
        <v>16</v>
      </c>
      <c r="F743" s="2" t="s">
        <v>126</v>
      </c>
      <c r="G743" s="2"/>
      <c r="H743" s="2"/>
      <c r="I743" s="2"/>
      <c r="J743" s="2" t="s">
        <v>449</v>
      </c>
      <c r="K743" s="3">
        <v>40038</v>
      </c>
      <c r="L743" s="2"/>
      <c r="M743" s="2"/>
      <c r="N743" s="2" t="s">
        <v>18</v>
      </c>
    </row>
    <row r="744" spans="1:14" ht="15.75" customHeight="1" x14ac:dyDescent="0.35">
      <c r="A744" s="2" t="s">
        <v>1369</v>
      </c>
      <c r="B744" s="2" t="str" cm="1">
        <f t="array" ref="B744">_xlfn.IFS(AND(LEN('Special Help Table'!$A744)-(LEN(SUBSTITUTE('Special Help Table'!$A744,";","")))=0,LEN('Special Help Table'!$A744)-LEN(SUBSTITUTE('Special Help Table'!$A744,",",""))=1,LEN('Special Help Table'!$A744)-LEN(SUBSTITUTE('Special Help Table'!$A744,"and ",""))=0),MID('Special Help Table'!$A744&amp;" "&amp;'Special Help Table'!$A744,SEARCH(", ",'Special Help Table'!$A744)+1,LEN('Special Help Table'!$A744)),AND(LEN('Special Help Table'!$A744)-(LEN(SUBSTITUTE('Special Help Table'!$A744,";","")))=1,LEN('Special Help Table'!$A744)-LEN(SUBSTITUTE('Special Help Table'!$A744,"and ",""))=0),MID('Special Help Table'!$A744,SEARCH(",",'Special Help Table'!$A744)+1,(SEARCH(";",'Special Help Table'!$A744)-1)-SEARCH(",",'Special Help Table'!$A744))&amp;" "&amp;LEFT('Special Help Table'!$A744,SEARCH(",",'Special Help Table'!$A744)-1)&amp;";"&amp;RIGHT('Special Help Table'!$A744,LEN('Special Help Table'!$A744)-SEARCH(",",'Special Help Table'!$A744,SEARCH(";",'Special Help Table'!$A744)))&amp;" "&amp;MID('Special Help Table'!$A744,SEARCH("; ",'Special Help Table'!$A744)+2,SEARCH(",",'Special Help Table'!$A744,SEARCH(";",'Special Help Table'!$A744))-SEARCH(";",'Special Help Table'!$A744)-2),AND(LEN('Special Help Table'!$A744)-LEN(SUBSTITUTE('Special Help Table'!$A744,"and ",""))=0,LEN('Special Help Table'!$A744)-LEN(SUBSTITUTE('Special Help Table'!$A744,";",""))=0),'Special Help Table'!$A744,AND(LEN('Special Help Table'!$A744)-LEN(SUBSTITUTE('Special Help Table'!$A744,",","")=1),LEN('Special Help Table'!$A744)-LEN(SUBSTITUTE('Special Help Table'!$A744," ","")=20),LEN('Special Help Table'!$A744)-LEN(SUBSTITUTE('Special Help Table'!$A744," and",""))=0,LEN('Special Help Table'!$A744)-LEN(SUBSTITUTE('Special Help Table'!$A744,",","",FIND(" ",'Special Help Table'!$A744)+1))=0),RIGHT('Special Help Table'!$A744,LEN('Special Help Table'!$A744)-FIND(", ",'Special Help Table'!$A744))&amp;" "&amp;LEFT('Special Help Table'!$A744,FIND(",",'Special Help Table'!$A744)-1),AND(LEN('Special Help Table'!$A744)-LEN(SUBSTITUTE('Special Help Table'!$A744,"editor",""))=6,LEN('Special Help Table'!$A744)-LEN(SUBSTITUTE('Special Help Table'!$A744,"(",""))=0,LEN('Special Help Table'!$A744)-LEN(SUBSTITUTE('Special Help Table'!$A744,"and",""))=3,LEN('Special Help Table'!$A744)-LEN(SUBSTITUTE('Special Help Table'!$A744,",",""))=1,LEN('Special Help Table'!$A744)-LEN(SUBSTITUTE('Special Help Table'!$A744," ",""))=3),'Special Help Table'!$A744)</f>
        <v xml:space="preserve"> Brian Vickers</v>
      </c>
      <c r="C744" s="4" t="s">
        <v>1370</v>
      </c>
      <c r="D744" s="2" t="s">
        <v>1072</v>
      </c>
      <c r="E744" s="2" t="s">
        <v>16</v>
      </c>
      <c r="F744" s="2" t="s">
        <v>126</v>
      </c>
      <c r="G744" s="2"/>
      <c r="H744" s="2"/>
      <c r="I744" s="2"/>
      <c r="J744" s="2"/>
      <c r="K744" s="3">
        <v>43815</v>
      </c>
      <c r="L744" s="2"/>
      <c r="M744" s="2"/>
      <c r="N744" s="2" t="s">
        <v>18</v>
      </c>
    </row>
    <row r="745" spans="1:14" ht="15.75" customHeight="1" x14ac:dyDescent="0.35">
      <c r="A745" s="2" t="s">
        <v>1371</v>
      </c>
      <c r="B745" s="2" t="str" cm="1">
        <f t="array" ref="B745">_xlfn.IFS(AND(LEN('Special Help Table'!$A745)-(LEN(SUBSTITUTE('Special Help Table'!$A745,";","")))=0,LEN('Special Help Table'!$A745)-LEN(SUBSTITUTE('Special Help Table'!$A745,",",""))=1,LEN('Special Help Table'!$A745)-LEN(SUBSTITUTE('Special Help Table'!$A745,"and ",""))=0),MID('Special Help Table'!$A745&amp;" "&amp;'Special Help Table'!$A745,SEARCH(", ",'Special Help Table'!$A745)+1,LEN('Special Help Table'!$A745)),AND(LEN('Special Help Table'!$A745)-(LEN(SUBSTITUTE('Special Help Table'!$A745,";","")))=1,LEN('Special Help Table'!$A745)-LEN(SUBSTITUTE('Special Help Table'!$A745,"and ",""))=0),MID('Special Help Table'!$A745,SEARCH(",",'Special Help Table'!$A745)+1,(SEARCH(";",'Special Help Table'!$A745)-1)-SEARCH(",",'Special Help Table'!$A745))&amp;" "&amp;LEFT('Special Help Table'!$A745,SEARCH(",",'Special Help Table'!$A745)-1)&amp;";"&amp;RIGHT('Special Help Table'!$A745,LEN('Special Help Table'!$A745)-SEARCH(",",'Special Help Table'!$A745,SEARCH(";",'Special Help Table'!$A745)))&amp;" "&amp;MID('Special Help Table'!$A745,SEARCH("; ",'Special Help Table'!$A745)+2,SEARCH(",",'Special Help Table'!$A745,SEARCH(";",'Special Help Table'!$A745))-SEARCH(";",'Special Help Table'!$A745)-2),AND(LEN('Special Help Table'!$A745)-LEN(SUBSTITUTE('Special Help Table'!$A745,"and ",""))=0,LEN('Special Help Table'!$A745)-LEN(SUBSTITUTE('Special Help Table'!$A745,";",""))=0),'Special Help Table'!$A745,AND(LEN('Special Help Table'!$A745)-LEN(SUBSTITUTE('Special Help Table'!$A745,",","")=1),LEN('Special Help Table'!$A745)-LEN(SUBSTITUTE('Special Help Table'!$A745," ","")=20),LEN('Special Help Table'!$A745)-LEN(SUBSTITUTE('Special Help Table'!$A745," and",""))=0,LEN('Special Help Table'!$A745)-LEN(SUBSTITUTE('Special Help Table'!$A745,",","",FIND(" ",'Special Help Table'!$A745)+1))=0),RIGHT('Special Help Table'!$A745,LEN('Special Help Table'!$A745)-FIND(", ",'Special Help Table'!$A745))&amp;" "&amp;LEFT('Special Help Table'!$A745,FIND(",",'Special Help Table'!$A745)-1),AND(LEN('Special Help Table'!$A745)-LEN(SUBSTITUTE('Special Help Table'!$A745,"editor",""))=6,LEN('Special Help Table'!$A745)-LEN(SUBSTITUTE('Special Help Table'!$A745,"(",""))=0,LEN('Special Help Table'!$A745)-LEN(SUBSTITUTE('Special Help Table'!$A745,"and",""))=3,LEN('Special Help Table'!$A745)-LEN(SUBSTITUTE('Special Help Table'!$A745,",",""))=1,LEN('Special Help Table'!$A745)-LEN(SUBSTITUTE('Special Help Table'!$A745," ",""))=3),'Special Help Table'!$A745)</f>
        <v xml:space="preserve"> Christopher Von Schmid</v>
      </c>
      <c r="C745" s="4" t="s">
        <v>1372</v>
      </c>
      <c r="D745" s="2" t="s">
        <v>1373</v>
      </c>
      <c r="E745" s="2" t="s">
        <v>16</v>
      </c>
      <c r="F745" s="2" t="s">
        <v>72</v>
      </c>
      <c r="G745" s="2"/>
      <c r="H745" s="2"/>
      <c r="I745" s="2"/>
      <c r="J745" s="2"/>
      <c r="K745" s="3">
        <v>41804</v>
      </c>
      <c r="L745" s="2"/>
      <c r="M745" s="2"/>
      <c r="N745" s="2" t="s">
        <v>18</v>
      </c>
    </row>
    <row r="746" spans="1:14" ht="15.75" customHeight="1" x14ac:dyDescent="0.35">
      <c r="A746" s="2" t="s">
        <v>1374</v>
      </c>
      <c r="B746" s="2" t="str" cm="1">
        <f t="array" ref="B746">_xlfn.IFS(AND(LEN('Special Help Table'!$A746)-(LEN(SUBSTITUTE('Special Help Table'!$A746,";","")))=0,LEN('Special Help Table'!$A746)-LEN(SUBSTITUTE('Special Help Table'!$A746,",",""))=1,LEN('Special Help Table'!$A746)-LEN(SUBSTITUTE('Special Help Table'!$A746,"and ",""))=0),MID('Special Help Table'!$A746&amp;" "&amp;'Special Help Table'!$A746,SEARCH(", ",'Special Help Table'!$A746)+1,LEN('Special Help Table'!$A746)),AND(LEN('Special Help Table'!$A746)-(LEN(SUBSTITUTE('Special Help Table'!$A746,";","")))=1,LEN('Special Help Table'!$A746)-LEN(SUBSTITUTE('Special Help Table'!$A746,"and ",""))=0),MID('Special Help Table'!$A746,SEARCH(",",'Special Help Table'!$A746)+1,(SEARCH(";",'Special Help Table'!$A746)-1)-SEARCH(",",'Special Help Table'!$A746))&amp;" "&amp;LEFT('Special Help Table'!$A746,SEARCH(",",'Special Help Table'!$A746)-1)&amp;";"&amp;RIGHT('Special Help Table'!$A746,LEN('Special Help Table'!$A746)-SEARCH(",",'Special Help Table'!$A746,SEARCH(";",'Special Help Table'!$A746)))&amp;" "&amp;MID('Special Help Table'!$A746,SEARCH("; ",'Special Help Table'!$A746)+2,SEARCH(",",'Special Help Table'!$A746,SEARCH(";",'Special Help Table'!$A746))-SEARCH(";",'Special Help Table'!$A746)-2),AND(LEN('Special Help Table'!$A746)-LEN(SUBSTITUTE('Special Help Table'!$A746,"and ",""))=0,LEN('Special Help Table'!$A746)-LEN(SUBSTITUTE('Special Help Table'!$A746,";",""))=0),'Special Help Table'!$A746,AND(LEN('Special Help Table'!$A746)-LEN(SUBSTITUTE('Special Help Table'!$A746,",","")=1),LEN('Special Help Table'!$A746)-LEN(SUBSTITUTE('Special Help Table'!$A746," ","")=20),LEN('Special Help Table'!$A746)-LEN(SUBSTITUTE('Special Help Table'!$A746," and",""))=0,LEN('Special Help Table'!$A746)-LEN(SUBSTITUTE('Special Help Table'!$A746,",","",FIND(" ",'Special Help Table'!$A746)+1))=0),RIGHT('Special Help Table'!$A746,LEN('Special Help Table'!$A746)-FIND(", ",'Special Help Table'!$A746))&amp;" "&amp;LEFT('Special Help Table'!$A746,FIND(",",'Special Help Table'!$A746)-1),AND(LEN('Special Help Table'!$A746)-LEN(SUBSTITUTE('Special Help Table'!$A746,"editor",""))=6,LEN('Special Help Table'!$A746)-LEN(SUBSTITUTE('Special Help Table'!$A746,"(",""))=0,LEN('Special Help Table'!$A746)-LEN(SUBSTITUTE('Special Help Table'!$A746,"and",""))=3,LEN('Special Help Table'!$A746)-LEN(SUBSTITUTE('Special Help Table'!$A746,",",""))=1,LEN('Special Help Table'!$A746)-LEN(SUBSTITUTE('Special Help Table'!$A746," ",""))=3),'Special Help Table'!$A746)</f>
        <v xml:space="preserve"> Mark Vroegop</v>
      </c>
      <c r="C746" s="4" t="s">
        <v>1375</v>
      </c>
      <c r="D746" s="2"/>
      <c r="E746" s="2" t="s">
        <v>16</v>
      </c>
      <c r="F746" s="2" t="s">
        <v>36</v>
      </c>
      <c r="G746" s="2"/>
      <c r="H746" s="2"/>
      <c r="I746" s="2"/>
      <c r="J746" s="2"/>
      <c r="K746" s="3">
        <v>43704</v>
      </c>
      <c r="L746" s="2"/>
      <c r="M746" s="2"/>
      <c r="N746" s="2" t="s">
        <v>18</v>
      </c>
    </row>
    <row r="747" spans="1:14" ht="15.75" customHeight="1" x14ac:dyDescent="0.35">
      <c r="A747" s="2" t="s">
        <v>1376</v>
      </c>
      <c r="B747" s="2" t="str" cm="1">
        <f t="array" ref="B747">_xlfn.IFS(AND(LEN('Special Help Table'!$A747)-(LEN(SUBSTITUTE('Special Help Table'!$A747,";","")))=0,LEN('Special Help Table'!$A747)-LEN(SUBSTITUTE('Special Help Table'!$A747,",",""))=1,LEN('Special Help Table'!$A747)-LEN(SUBSTITUTE('Special Help Table'!$A747,"and ",""))=0),MID('Special Help Table'!$A747&amp;" "&amp;'Special Help Table'!$A747,SEARCH(", ",'Special Help Table'!$A747)+1,LEN('Special Help Table'!$A747)),AND(LEN('Special Help Table'!$A747)-(LEN(SUBSTITUTE('Special Help Table'!$A747,";","")))=1,LEN('Special Help Table'!$A747)-LEN(SUBSTITUTE('Special Help Table'!$A747,"and ",""))=0),MID('Special Help Table'!$A747,SEARCH(",",'Special Help Table'!$A747)+1,(SEARCH(";",'Special Help Table'!$A747)-1)-SEARCH(",",'Special Help Table'!$A747))&amp;" "&amp;LEFT('Special Help Table'!$A747,SEARCH(",",'Special Help Table'!$A747)-1)&amp;";"&amp;RIGHT('Special Help Table'!$A747,LEN('Special Help Table'!$A747)-SEARCH(",",'Special Help Table'!$A747,SEARCH(";",'Special Help Table'!$A747)))&amp;" "&amp;MID('Special Help Table'!$A747,SEARCH("; ",'Special Help Table'!$A747)+2,SEARCH(",",'Special Help Table'!$A747,SEARCH(";",'Special Help Table'!$A747))-SEARCH(";",'Special Help Table'!$A747)-2),AND(LEN('Special Help Table'!$A747)-LEN(SUBSTITUTE('Special Help Table'!$A747,"and ",""))=0,LEN('Special Help Table'!$A747)-LEN(SUBSTITUTE('Special Help Table'!$A747,";",""))=0),'Special Help Table'!$A747,AND(LEN('Special Help Table'!$A747)-LEN(SUBSTITUTE('Special Help Table'!$A747,",","")=1),LEN('Special Help Table'!$A747)-LEN(SUBSTITUTE('Special Help Table'!$A747," ","")=20),LEN('Special Help Table'!$A747)-LEN(SUBSTITUTE('Special Help Table'!$A747," and",""))=0,LEN('Special Help Table'!$A747)-LEN(SUBSTITUTE('Special Help Table'!$A747,",","",FIND(" ",'Special Help Table'!$A747)+1))=0),RIGHT('Special Help Table'!$A747,LEN('Special Help Table'!$A747)-FIND(", ",'Special Help Table'!$A747))&amp;" "&amp;LEFT('Special Help Table'!$A747,FIND(",",'Special Help Table'!$A747)-1),AND(LEN('Special Help Table'!$A747)-LEN(SUBSTITUTE('Special Help Table'!$A747,"editor",""))=6,LEN('Special Help Table'!$A747)-LEN(SUBSTITUTE('Special Help Table'!$A747,"(",""))=0,LEN('Special Help Table'!$A747)-LEN(SUBSTITUTE('Special Help Table'!$A747,"and",""))=3,LEN('Special Help Table'!$A747)-LEN(SUBSTITUTE('Special Help Table'!$A747,",",""))=1,LEN('Special Help Table'!$A747)-LEN(SUBSTITUTE('Special Help Table'!$A747," ",""))=3),'Special Help Table'!$A747)</f>
        <v xml:space="preserve"> Nancy DeMoss Walgemuth</v>
      </c>
      <c r="C747" s="4" t="s">
        <v>1377</v>
      </c>
      <c r="D747" s="2"/>
      <c r="E747" s="2" t="s">
        <v>16</v>
      </c>
      <c r="F747" s="2" t="s">
        <v>36</v>
      </c>
      <c r="G747" s="2"/>
      <c r="H747" s="2"/>
      <c r="I747" s="2"/>
      <c r="J747" s="2" t="s">
        <v>230</v>
      </c>
      <c r="K747" s="3">
        <v>43912</v>
      </c>
      <c r="L747" s="2"/>
      <c r="M747" s="2"/>
      <c r="N747" s="2" t="s">
        <v>18</v>
      </c>
    </row>
    <row r="748" spans="1:14" ht="15.75" customHeight="1" x14ac:dyDescent="0.35">
      <c r="A748" s="2" t="s">
        <v>1378</v>
      </c>
      <c r="B748" s="2" t="str" cm="1">
        <f t="array" ref="B748">_xlfn.IFS(AND(LEN('Special Help Table'!$A748)-(LEN(SUBSTITUTE('Special Help Table'!$A748,";","")))=0,LEN('Special Help Table'!$A748)-LEN(SUBSTITUTE('Special Help Table'!$A748,",",""))=1,LEN('Special Help Table'!$A748)-LEN(SUBSTITUTE('Special Help Table'!$A748,"and ",""))=0),MID('Special Help Table'!$A748&amp;" "&amp;'Special Help Table'!$A748,SEARCH(", ",'Special Help Table'!$A748)+1,LEN('Special Help Table'!$A748)),AND(LEN('Special Help Table'!$A748)-(LEN(SUBSTITUTE('Special Help Table'!$A748,";","")))=1,LEN('Special Help Table'!$A748)-LEN(SUBSTITUTE('Special Help Table'!$A748,"and ",""))=0),MID('Special Help Table'!$A748,SEARCH(",",'Special Help Table'!$A748)+1,(SEARCH(";",'Special Help Table'!$A748)-1)-SEARCH(",",'Special Help Table'!$A748))&amp;" "&amp;LEFT('Special Help Table'!$A748,SEARCH(",",'Special Help Table'!$A748)-1)&amp;";"&amp;RIGHT('Special Help Table'!$A748,LEN('Special Help Table'!$A748)-SEARCH(",",'Special Help Table'!$A748,SEARCH(";",'Special Help Table'!$A748)))&amp;" "&amp;MID('Special Help Table'!$A748,SEARCH("; ",'Special Help Table'!$A748)+2,SEARCH(",",'Special Help Table'!$A748,SEARCH(";",'Special Help Table'!$A748))-SEARCH(";",'Special Help Table'!$A748)-2),AND(LEN('Special Help Table'!$A748)-LEN(SUBSTITUTE('Special Help Table'!$A748,"and ",""))=0,LEN('Special Help Table'!$A748)-LEN(SUBSTITUTE('Special Help Table'!$A748,";",""))=0),'Special Help Table'!$A748,AND(LEN('Special Help Table'!$A748)-LEN(SUBSTITUTE('Special Help Table'!$A748,",","")=1),LEN('Special Help Table'!$A748)-LEN(SUBSTITUTE('Special Help Table'!$A748," ","")=20),LEN('Special Help Table'!$A748)-LEN(SUBSTITUTE('Special Help Table'!$A748," and",""))=0,LEN('Special Help Table'!$A748)-LEN(SUBSTITUTE('Special Help Table'!$A748,",","",FIND(" ",'Special Help Table'!$A748)+1))=0),RIGHT('Special Help Table'!$A748,LEN('Special Help Table'!$A748)-FIND(", ",'Special Help Table'!$A748))&amp;" "&amp;LEFT('Special Help Table'!$A748,FIND(",",'Special Help Table'!$A748)-1),AND(LEN('Special Help Table'!$A748)-LEN(SUBSTITUTE('Special Help Table'!$A748,"editor",""))=6,LEN('Special Help Table'!$A748)-LEN(SUBSTITUTE('Special Help Table'!$A748,"(",""))=0,LEN('Special Help Table'!$A748)-LEN(SUBSTITUTE('Special Help Table'!$A748,"and",""))=3,LEN('Special Help Table'!$A748)-LEN(SUBSTITUTE('Special Help Table'!$A748,",",""))=1,LEN('Special Help Table'!$A748)-LEN(SUBSTITUTE('Special Help Table'!$A748," ",""))=3),'Special Help Table'!$A748)</f>
        <v xml:space="preserve"> Andrew T. Walker</v>
      </c>
      <c r="C748" s="4" t="s">
        <v>1379</v>
      </c>
      <c r="D748" s="2"/>
      <c r="E748" s="2" t="s">
        <v>16</v>
      </c>
      <c r="F748" s="2" t="s">
        <v>17</v>
      </c>
      <c r="G748" s="2"/>
      <c r="H748" s="2"/>
      <c r="I748" s="2"/>
      <c r="J748" s="2" t="s">
        <v>226</v>
      </c>
      <c r="K748" s="3">
        <v>43160</v>
      </c>
      <c r="L748" s="2"/>
      <c r="M748" s="2"/>
      <c r="N748" s="2" t="s">
        <v>18</v>
      </c>
    </row>
    <row r="749" spans="1:14" ht="15.75" customHeight="1" x14ac:dyDescent="0.35">
      <c r="A749" s="2" t="s">
        <v>1380</v>
      </c>
      <c r="B749" s="2" t="str" cm="1">
        <f t="array" ref="B749">_xlfn.IFS(AND(LEN('Special Help Table'!$A749)-(LEN(SUBSTITUTE('Special Help Table'!$A749,";","")))=0,LEN('Special Help Table'!$A749)-LEN(SUBSTITUTE('Special Help Table'!$A749,",",""))=1,LEN('Special Help Table'!$A749)-LEN(SUBSTITUTE('Special Help Table'!$A749,"and ",""))=0),MID('Special Help Table'!$A749&amp;" "&amp;'Special Help Table'!$A749,SEARCH(", ",'Special Help Table'!$A749)+1,LEN('Special Help Table'!$A749)),AND(LEN('Special Help Table'!$A749)-(LEN(SUBSTITUTE('Special Help Table'!$A749,";","")))=1,LEN('Special Help Table'!$A749)-LEN(SUBSTITUTE('Special Help Table'!$A749,"and ",""))=0),MID('Special Help Table'!$A749,SEARCH(",",'Special Help Table'!$A749)+1,(SEARCH(";",'Special Help Table'!$A749)-1)-SEARCH(",",'Special Help Table'!$A749))&amp;" "&amp;LEFT('Special Help Table'!$A749,SEARCH(",",'Special Help Table'!$A749)-1)&amp;";"&amp;RIGHT('Special Help Table'!$A749,LEN('Special Help Table'!$A749)-SEARCH(",",'Special Help Table'!$A749,SEARCH(";",'Special Help Table'!$A749)))&amp;" "&amp;MID('Special Help Table'!$A749,SEARCH("; ",'Special Help Table'!$A749)+2,SEARCH(",",'Special Help Table'!$A749,SEARCH(";",'Special Help Table'!$A749))-SEARCH(";",'Special Help Table'!$A749)-2),AND(LEN('Special Help Table'!$A749)-LEN(SUBSTITUTE('Special Help Table'!$A749,"and ",""))=0,LEN('Special Help Table'!$A749)-LEN(SUBSTITUTE('Special Help Table'!$A749,";",""))=0),'Special Help Table'!$A749,AND(LEN('Special Help Table'!$A749)-LEN(SUBSTITUTE('Special Help Table'!$A749,",","")=1),LEN('Special Help Table'!$A749)-LEN(SUBSTITUTE('Special Help Table'!$A749," ","")=20),LEN('Special Help Table'!$A749)-LEN(SUBSTITUTE('Special Help Table'!$A749," and",""))=0,LEN('Special Help Table'!$A749)-LEN(SUBSTITUTE('Special Help Table'!$A749,",","",FIND(" ",'Special Help Table'!$A749)+1))=0),RIGHT('Special Help Table'!$A749,LEN('Special Help Table'!$A749)-FIND(", ",'Special Help Table'!$A749))&amp;" "&amp;LEFT('Special Help Table'!$A749,FIND(",",'Special Help Table'!$A749)-1),AND(LEN('Special Help Table'!$A749)-LEN(SUBSTITUTE('Special Help Table'!$A749,"editor",""))=6,LEN('Special Help Table'!$A749)-LEN(SUBSTITUTE('Special Help Table'!$A749,"(",""))=0,LEN('Special Help Table'!$A749)-LEN(SUBSTITUTE('Special Help Table'!$A749,"and",""))=3,LEN('Special Help Table'!$A749)-LEN(SUBSTITUTE('Special Help Table'!$A749,",",""))=1,LEN('Special Help Table'!$A749)-LEN(SUBSTITUTE('Special Help Table'!$A749," ",""))=3),'Special Help Table'!$A749)</f>
        <v xml:space="preserve"> Constance K. Walker</v>
      </c>
      <c r="C749" s="4" t="s">
        <v>1381</v>
      </c>
      <c r="D749" s="2" t="s">
        <v>160</v>
      </c>
      <c r="E749" s="2" t="s">
        <v>16</v>
      </c>
      <c r="F749" s="2" t="s">
        <v>39</v>
      </c>
      <c r="G749" s="2"/>
      <c r="H749" s="2"/>
      <c r="I749" s="2"/>
      <c r="J749" s="2"/>
      <c r="K749" s="3">
        <v>43704</v>
      </c>
      <c r="L749" s="2"/>
      <c r="M749" s="2"/>
      <c r="N749" s="2" t="s">
        <v>18</v>
      </c>
    </row>
    <row r="750" spans="1:14" ht="15.75" customHeight="1" x14ac:dyDescent="0.35">
      <c r="A750" s="2" t="s">
        <v>1382</v>
      </c>
      <c r="B750" s="2" t="str" cm="1">
        <f t="array" ref="B750">_xlfn.IFS(AND(LEN('Special Help Table'!$A750)-(LEN(SUBSTITUTE('Special Help Table'!$A750,";","")))=0,LEN('Special Help Table'!$A750)-LEN(SUBSTITUTE('Special Help Table'!$A750,",",""))=1,LEN('Special Help Table'!$A750)-LEN(SUBSTITUTE('Special Help Table'!$A750,"and ",""))=0),MID('Special Help Table'!$A750&amp;" "&amp;'Special Help Table'!$A750,SEARCH(", ",'Special Help Table'!$A750)+1,LEN('Special Help Table'!$A750)),AND(LEN('Special Help Table'!$A750)-(LEN(SUBSTITUTE('Special Help Table'!$A750,";","")))=1,LEN('Special Help Table'!$A750)-LEN(SUBSTITUTE('Special Help Table'!$A750,"and ",""))=0),MID('Special Help Table'!$A750,SEARCH(",",'Special Help Table'!$A750)+1,(SEARCH(";",'Special Help Table'!$A750)-1)-SEARCH(",",'Special Help Table'!$A750))&amp;" "&amp;LEFT('Special Help Table'!$A750,SEARCH(",",'Special Help Table'!$A750)-1)&amp;";"&amp;RIGHT('Special Help Table'!$A750,LEN('Special Help Table'!$A750)-SEARCH(",",'Special Help Table'!$A750,SEARCH(";",'Special Help Table'!$A750)))&amp;" "&amp;MID('Special Help Table'!$A750,SEARCH("; ",'Special Help Table'!$A750)+2,SEARCH(",",'Special Help Table'!$A750,SEARCH(";",'Special Help Table'!$A750))-SEARCH(";",'Special Help Table'!$A750)-2),AND(LEN('Special Help Table'!$A750)-LEN(SUBSTITUTE('Special Help Table'!$A750,"and ",""))=0,LEN('Special Help Table'!$A750)-LEN(SUBSTITUTE('Special Help Table'!$A750,";",""))=0),'Special Help Table'!$A750,AND(LEN('Special Help Table'!$A750)-LEN(SUBSTITUTE('Special Help Table'!$A750,",","")=1),LEN('Special Help Table'!$A750)-LEN(SUBSTITUTE('Special Help Table'!$A750," ","")=20),LEN('Special Help Table'!$A750)-LEN(SUBSTITUTE('Special Help Table'!$A750," and",""))=0,LEN('Special Help Table'!$A750)-LEN(SUBSTITUTE('Special Help Table'!$A750,",","",FIND(" ",'Special Help Table'!$A750)+1))=0),RIGHT('Special Help Table'!$A750,LEN('Special Help Table'!$A750)-FIND(", ",'Special Help Table'!$A750))&amp;" "&amp;LEFT('Special Help Table'!$A750,FIND(",",'Special Help Table'!$A750)-1),AND(LEN('Special Help Table'!$A750)-LEN(SUBSTITUTE('Special Help Table'!$A750,"editor",""))=6,LEN('Special Help Table'!$A750)-LEN(SUBSTITUTE('Special Help Table'!$A750,"(",""))=0,LEN('Special Help Table'!$A750)-LEN(SUBSTITUTE('Special Help Table'!$A750,"and",""))=3,LEN('Special Help Table'!$A750)-LEN(SUBSTITUTE('Special Help Table'!$A750,",",""))=1,LEN('Special Help Table'!$A750)-LEN(SUBSTITUTE('Special Help Table'!$A750," ",""))=3),'Special Help Table'!$A750)</f>
        <v xml:space="preserve"> Sara Wallace</v>
      </c>
      <c r="C750" s="4" t="s">
        <v>1383</v>
      </c>
      <c r="D750" s="2"/>
      <c r="E750" s="2" t="s">
        <v>16</v>
      </c>
      <c r="F750" s="2" t="s">
        <v>17</v>
      </c>
      <c r="G750" s="2"/>
      <c r="H750" s="2"/>
      <c r="I750" s="2" t="s">
        <v>100</v>
      </c>
      <c r="J750" s="2" t="s">
        <v>1384</v>
      </c>
      <c r="K750" s="3">
        <v>43832</v>
      </c>
      <c r="L750" s="2"/>
      <c r="M750" s="2"/>
      <c r="N750" s="2" t="s">
        <v>18</v>
      </c>
    </row>
    <row r="751" spans="1:14" ht="15.75" customHeight="1" x14ac:dyDescent="0.35">
      <c r="A751" s="2" t="s">
        <v>1385</v>
      </c>
      <c r="B751" s="2" t="str" cm="1">
        <f t="array" ref="B751">_xlfn.IFS(AND(LEN('Special Help Table'!$A751)-(LEN(SUBSTITUTE('Special Help Table'!$A751,";","")))=0,LEN('Special Help Table'!$A751)-LEN(SUBSTITUTE('Special Help Table'!$A751,",",""))=1,LEN('Special Help Table'!$A751)-LEN(SUBSTITUTE('Special Help Table'!$A751,"and ",""))=0),MID('Special Help Table'!$A751&amp;" "&amp;'Special Help Table'!$A751,SEARCH(", ",'Special Help Table'!$A751)+1,LEN('Special Help Table'!$A751)),AND(LEN('Special Help Table'!$A751)-(LEN(SUBSTITUTE('Special Help Table'!$A751,";","")))=1,LEN('Special Help Table'!$A751)-LEN(SUBSTITUTE('Special Help Table'!$A751,"and ",""))=0),MID('Special Help Table'!$A751,SEARCH(",",'Special Help Table'!$A751)+1,(SEARCH(";",'Special Help Table'!$A751)-1)-SEARCH(",",'Special Help Table'!$A751))&amp;" "&amp;LEFT('Special Help Table'!$A751,SEARCH(",",'Special Help Table'!$A751)-1)&amp;";"&amp;RIGHT('Special Help Table'!$A751,LEN('Special Help Table'!$A751)-SEARCH(",",'Special Help Table'!$A751,SEARCH(";",'Special Help Table'!$A751)))&amp;" "&amp;MID('Special Help Table'!$A751,SEARCH("; ",'Special Help Table'!$A751)+2,SEARCH(",",'Special Help Table'!$A751,SEARCH(";",'Special Help Table'!$A751))-SEARCH(";",'Special Help Table'!$A751)-2),AND(LEN('Special Help Table'!$A751)-LEN(SUBSTITUTE('Special Help Table'!$A751,"and ",""))=0,LEN('Special Help Table'!$A751)-LEN(SUBSTITUTE('Special Help Table'!$A751,";",""))=0),'Special Help Table'!$A751,AND(LEN('Special Help Table'!$A751)-LEN(SUBSTITUTE('Special Help Table'!$A751,",","")=1),LEN('Special Help Table'!$A751)-LEN(SUBSTITUTE('Special Help Table'!$A751," ","")=20),LEN('Special Help Table'!$A751)-LEN(SUBSTITUTE('Special Help Table'!$A751," and",""))=0,LEN('Special Help Table'!$A751)-LEN(SUBSTITUTE('Special Help Table'!$A751,",","",FIND(" ",'Special Help Table'!$A751)+1))=0),RIGHT('Special Help Table'!$A751,LEN('Special Help Table'!$A751)-FIND(", ",'Special Help Table'!$A751))&amp;" "&amp;LEFT('Special Help Table'!$A751,FIND(",",'Special Help Table'!$A751)-1),AND(LEN('Special Help Table'!$A751)-LEN(SUBSTITUTE('Special Help Table'!$A751,"editor",""))=6,LEN('Special Help Table'!$A751)-LEN(SUBSTITUTE('Special Help Table'!$A751,"(",""))=0,LEN('Special Help Table'!$A751)-LEN(SUBSTITUTE('Special Help Table'!$A751,"and",""))=3,LEN('Special Help Table'!$A751)-LEN(SUBSTITUTE('Special Help Table'!$A751,",",""))=1,LEN('Special Help Table'!$A751)-LEN(SUBSTITUTE('Special Help Table'!$A751," ",""))=3),'Special Help Table'!$A751)</f>
        <v xml:space="preserve"> O.F. Walton</v>
      </c>
      <c r="C751" s="4" t="s">
        <v>1386</v>
      </c>
      <c r="D751" s="2" t="s">
        <v>1141</v>
      </c>
      <c r="E751" s="2" t="s">
        <v>16</v>
      </c>
      <c r="F751" s="2" t="s">
        <v>151</v>
      </c>
      <c r="G751" s="2"/>
      <c r="H751" s="2"/>
      <c r="I751" s="2"/>
      <c r="J751" s="2" t="s">
        <v>152</v>
      </c>
      <c r="K751" s="3">
        <v>41712</v>
      </c>
      <c r="L751" s="2"/>
      <c r="M751" s="2"/>
      <c r="N751" s="2" t="s">
        <v>18</v>
      </c>
    </row>
    <row r="752" spans="1:14" ht="15.75" customHeight="1" x14ac:dyDescent="0.35">
      <c r="A752" s="2" t="s">
        <v>1385</v>
      </c>
      <c r="B752" s="2" t="str" cm="1">
        <f t="array" ref="B752">_xlfn.IFS(AND(LEN('Special Help Table'!$A752)-(LEN(SUBSTITUTE('Special Help Table'!$A752,";","")))=0,LEN('Special Help Table'!$A752)-LEN(SUBSTITUTE('Special Help Table'!$A752,",",""))=1,LEN('Special Help Table'!$A752)-LEN(SUBSTITUTE('Special Help Table'!$A752,"and ",""))=0),MID('Special Help Table'!$A752&amp;" "&amp;'Special Help Table'!$A752,SEARCH(", ",'Special Help Table'!$A752)+1,LEN('Special Help Table'!$A752)),AND(LEN('Special Help Table'!$A752)-(LEN(SUBSTITUTE('Special Help Table'!$A752,";","")))=1,LEN('Special Help Table'!$A752)-LEN(SUBSTITUTE('Special Help Table'!$A752,"and ",""))=0),MID('Special Help Table'!$A752,SEARCH(",",'Special Help Table'!$A752)+1,(SEARCH(";",'Special Help Table'!$A752)-1)-SEARCH(",",'Special Help Table'!$A752))&amp;" "&amp;LEFT('Special Help Table'!$A752,SEARCH(",",'Special Help Table'!$A752)-1)&amp;";"&amp;RIGHT('Special Help Table'!$A752,LEN('Special Help Table'!$A752)-SEARCH(",",'Special Help Table'!$A752,SEARCH(";",'Special Help Table'!$A752)))&amp;" "&amp;MID('Special Help Table'!$A752,SEARCH("; ",'Special Help Table'!$A752)+2,SEARCH(",",'Special Help Table'!$A752,SEARCH(";",'Special Help Table'!$A752))-SEARCH(";",'Special Help Table'!$A752)-2),AND(LEN('Special Help Table'!$A752)-LEN(SUBSTITUTE('Special Help Table'!$A752,"and ",""))=0,LEN('Special Help Table'!$A752)-LEN(SUBSTITUTE('Special Help Table'!$A752,";",""))=0),'Special Help Table'!$A752,AND(LEN('Special Help Table'!$A752)-LEN(SUBSTITUTE('Special Help Table'!$A752,",","")=1),LEN('Special Help Table'!$A752)-LEN(SUBSTITUTE('Special Help Table'!$A752," ","")=20),LEN('Special Help Table'!$A752)-LEN(SUBSTITUTE('Special Help Table'!$A752," and",""))=0,LEN('Special Help Table'!$A752)-LEN(SUBSTITUTE('Special Help Table'!$A752,",","",FIND(" ",'Special Help Table'!$A752)+1))=0),RIGHT('Special Help Table'!$A752,LEN('Special Help Table'!$A752)-FIND(", ",'Special Help Table'!$A752))&amp;" "&amp;LEFT('Special Help Table'!$A752,FIND(",",'Special Help Table'!$A752)-1),AND(LEN('Special Help Table'!$A752)-LEN(SUBSTITUTE('Special Help Table'!$A752,"editor",""))=6,LEN('Special Help Table'!$A752)-LEN(SUBSTITUTE('Special Help Table'!$A752,"(",""))=0,LEN('Special Help Table'!$A752)-LEN(SUBSTITUTE('Special Help Table'!$A752,"and",""))=3,LEN('Special Help Table'!$A752)-LEN(SUBSTITUTE('Special Help Table'!$A752,",",""))=1,LEN('Special Help Table'!$A752)-LEN(SUBSTITUTE('Special Help Table'!$A752," ",""))=3),'Special Help Table'!$A752)</f>
        <v xml:space="preserve"> O.F. Walton</v>
      </c>
      <c r="C752" s="4" t="s">
        <v>1387</v>
      </c>
      <c r="D752" s="2" t="s">
        <v>1141</v>
      </c>
      <c r="E752" s="2" t="s">
        <v>16</v>
      </c>
      <c r="F752" s="2" t="s">
        <v>151</v>
      </c>
      <c r="G752" s="2"/>
      <c r="H752" s="2"/>
      <c r="I752" s="2"/>
      <c r="J752" s="2" t="s">
        <v>152</v>
      </c>
      <c r="K752" s="3">
        <v>41712</v>
      </c>
      <c r="L752" s="2"/>
      <c r="M752" s="2"/>
      <c r="N752" s="2" t="s">
        <v>18</v>
      </c>
    </row>
    <row r="753" spans="1:14" ht="15.75" customHeight="1" x14ac:dyDescent="0.35">
      <c r="A753" s="2" t="s">
        <v>1388</v>
      </c>
      <c r="B753" s="2" t="str" cm="1">
        <f t="array" ref="B753">_xlfn.IFS(AND(LEN('Special Help Table'!$A753)-(LEN(SUBSTITUTE('Special Help Table'!$A753,";","")))=0,LEN('Special Help Table'!$A753)-LEN(SUBSTITUTE('Special Help Table'!$A753,",",""))=1,LEN('Special Help Table'!$A753)-LEN(SUBSTITUTE('Special Help Table'!$A753,"and ",""))=0),MID('Special Help Table'!$A753&amp;" "&amp;'Special Help Table'!$A753,SEARCH(", ",'Special Help Table'!$A753)+1,LEN('Special Help Table'!$A753)),AND(LEN('Special Help Table'!$A753)-(LEN(SUBSTITUTE('Special Help Table'!$A753,";","")))=1,LEN('Special Help Table'!$A753)-LEN(SUBSTITUTE('Special Help Table'!$A753,"and ",""))=0),MID('Special Help Table'!$A753,SEARCH(",",'Special Help Table'!$A753)+1,(SEARCH(";",'Special Help Table'!$A753)-1)-SEARCH(",",'Special Help Table'!$A753))&amp;" "&amp;LEFT('Special Help Table'!$A753,SEARCH(",",'Special Help Table'!$A753)-1)&amp;";"&amp;RIGHT('Special Help Table'!$A753,LEN('Special Help Table'!$A753)-SEARCH(",",'Special Help Table'!$A753,SEARCH(";",'Special Help Table'!$A753)))&amp;" "&amp;MID('Special Help Table'!$A753,SEARCH("; ",'Special Help Table'!$A753)+2,SEARCH(",",'Special Help Table'!$A753,SEARCH(";",'Special Help Table'!$A753))-SEARCH(";",'Special Help Table'!$A753)-2),AND(LEN('Special Help Table'!$A753)-LEN(SUBSTITUTE('Special Help Table'!$A753,"and ",""))=0,LEN('Special Help Table'!$A753)-LEN(SUBSTITUTE('Special Help Table'!$A753,";",""))=0),'Special Help Table'!$A753,AND(LEN('Special Help Table'!$A753)-LEN(SUBSTITUTE('Special Help Table'!$A753,",","")=1),LEN('Special Help Table'!$A753)-LEN(SUBSTITUTE('Special Help Table'!$A753," ","")=20),LEN('Special Help Table'!$A753)-LEN(SUBSTITUTE('Special Help Table'!$A753," and",""))=0,LEN('Special Help Table'!$A753)-LEN(SUBSTITUTE('Special Help Table'!$A753,",","",FIND(" ",'Special Help Table'!$A753)+1))=0),RIGHT('Special Help Table'!$A753,LEN('Special Help Table'!$A753)-FIND(", ",'Special Help Table'!$A753))&amp;" "&amp;LEFT('Special Help Table'!$A753,FIND(",",'Special Help Table'!$A753)-1),AND(LEN('Special Help Table'!$A753)-LEN(SUBSTITUTE('Special Help Table'!$A753,"editor",""))=6,LEN('Special Help Table'!$A753)-LEN(SUBSTITUTE('Special Help Table'!$A753,"(",""))=0,LEN('Special Help Table'!$A753)-LEN(SUBSTITUTE('Special Help Table'!$A753,"and",""))=3,LEN('Special Help Table'!$A753)-LEN(SUBSTITUTE('Special Help Table'!$A753,",",""))=1,LEN('Special Help Table'!$A753)-LEN(SUBSTITUTE('Special Help Table'!$A753," ",""))=3),'Special Help Table'!$A753)</f>
        <v xml:space="preserve"> Guy Prentiss Waters</v>
      </c>
      <c r="C753" s="4" t="s">
        <v>1389</v>
      </c>
      <c r="D753" s="2"/>
      <c r="E753" s="2" t="s">
        <v>16</v>
      </c>
      <c r="F753" s="2" t="s">
        <v>28</v>
      </c>
      <c r="G753" s="2"/>
      <c r="H753" s="2"/>
      <c r="I753" s="2"/>
      <c r="J753" s="2" t="s">
        <v>681</v>
      </c>
      <c r="K753" s="3"/>
      <c r="L753" s="2"/>
      <c r="M753" s="2"/>
      <c r="N753" s="2" t="s">
        <v>18</v>
      </c>
    </row>
    <row r="754" spans="1:14" ht="15.75" customHeight="1" x14ac:dyDescent="0.35">
      <c r="A754" s="2" t="s">
        <v>1390</v>
      </c>
      <c r="B754" s="2" t="str" cm="1">
        <f t="array" ref="B754">_xlfn.IFS(AND(LEN('Special Help Table'!$A754)-(LEN(SUBSTITUTE('Special Help Table'!$A754,";","")))=0,LEN('Special Help Table'!$A754)-LEN(SUBSTITUTE('Special Help Table'!$A754,",",""))=1,LEN('Special Help Table'!$A754)-LEN(SUBSTITUTE('Special Help Table'!$A754,"and ",""))=0),MID('Special Help Table'!$A754&amp;" "&amp;'Special Help Table'!$A754,SEARCH(", ",'Special Help Table'!$A754)+1,LEN('Special Help Table'!$A754)),AND(LEN('Special Help Table'!$A754)-(LEN(SUBSTITUTE('Special Help Table'!$A754,";","")))=1,LEN('Special Help Table'!$A754)-LEN(SUBSTITUTE('Special Help Table'!$A754,"and ",""))=0),MID('Special Help Table'!$A754,SEARCH(",",'Special Help Table'!$A754)+1,(SEARCH(";",'Special Help Table'!$A754)-1)-SEARCH(",",'Special Help Table'!$A754))&amp;" "&amp;LEFT('Special Help Table'!$A754,SEARCH(",",'Special Help Table'!$A754)-1)&amp;";"&amp;RIGHT('Special Help Table'!$A754,LEN('Special Help Table'!$A754)-SEARCH(",",'Special Help Table'!$A754,SEARCH(";",'Special Help Table'!$A754)))&amp;" "&amp;MID('Special Help Table'!$A754,SEARCH("; ",'Special Help Table'!$A754)+2,SEARCH(",",'Special Help Table'!$A754,SEARCH(";",'Special Help Table'!$A754))-SEARCH(";",'Special Help Table'!$A754)-2),AND(LEN('Special Help Table'!$A754)-LEN(SUBSTITUTE('Special Help Table'!$A754,"and ",""))=0,LEN('Special Help Table'!$A754)-LEN(SUBSTITUTE('Special Help Table'!$A754,";",""))=0),'Special Help Table'!$A754,AND(LEN('Special Help Table'!$A754)-LEN(SUBSTITUTE('Special Help Table'!$A754,",","")=1),LEN('Special Help Table'!$A754)-LEN(SUBSTITUTE('Special Help Table'!$A754," ","")=20),LEN('Special Help Table'!$A754)-LEN(SUBSTITUTE('Special Help Table'!$A754," and",""))=0,LEN('Special Help Table'!$A754)-LEN(SUBSTITUTE('Special Help Table'!$A754,",","",FIND(" ",'Special Help Table'!$A754)+1))=0),RIGHT('Special Help Table'!$A754,LEN('Special Help Table'!$A754)-FIND(", ",'Special Help Table'!$A754))&amp;" "&amp;LEFT('Special Help Table'!$A754,FIND(",",'Special Help Table'!$A754)-1),AND(LEN('Special Help Table'!$A754)-LEN(SUBSTITUTE('Special Help Table'!$A754,"editor",""))=6,LEN('Special Help Table'!$A754)-LEN(SUBSTITUTE('Special Help Table'!$A754,"(",""))=0,LEN('Special Help Table'!$A754)-LEN(SUBSTITUTE('Special Help Table'!$A754,"and",""))=3,LEN('Special Help Table'!$A754)-LEN(SUBSTITUTE('Special Help Table'!$A754,",",""))=1,LEN('Special Help Table'!$A754)-LEN(SUBSTITUTE('Special Help Table'!$A754," ",""))=3),'Special Help Table'!$A754)</f>
        <v xml:space="preserve"> Dawn L Watkins</v>
      </c>
      <c r="C754" s="4" t="s">
        <v>1391</v>
      </c>
      <c r="D754" s="2"/>
      <c r="E754" s="2" t="s">
        <v>16</v>
      </c>
      <c r="F754" s="2" t="s">
        <v>72</v>
      </c>
      <c r="G754" s="2"/>
      <c r="H754" s="2"/>
      <c r="I754" s="2"/>
      <c r="J754" s="2"/>
      <c r="K754" s="3">
        <v>41011</v>
      </c>
      <c r="L754" s="2"/>
      <c r="M754" s="2"/>
      <c r="N754" s="2" t="s">
        <v>18</v>
      </c>
    </row>
    <row r="755" spans="1:14" ht="15.75" customHeight="1" x14ac:dyDescent="0.35">
      <c r="A755" s="2" t="s">
        <v>1392</v>
      </c>
      <c r="B755" s="2" t="str" cm="1">
        <f t="array" ref="B755">_xlfn.IFS(AND(LEN('Special Help Table'!$A755)-(LEN(SUBSTITUTE('Special Help Table'!$A755,";","")))=0,LEN('Special Help Table'!$A755)-LEN(SUBSTITUTE('Special Help Table'!$A755,",",""))=1,LEN('Special Help Table'!$A755)-LEN(SUBSTITUTE('Special Help Table'!$A755,"and ",""))=0),MID('Special Help Table'!$A755&amp;" "&amp;'Special Help Table'!$A755,SEARCH(", ",'Special Help Table'!$A755)+1,LEN('Special Help Table'!$A755)),AND(LEN('Special Help Table'!$A755)-(LEN(SUBSTITUTE('Special Help Table'!$A755,";","")))=1,LEN('Special Help Table'!$A755)-LEN(SUBSTITUTE('Special Help Table'!$A755,"and ",""))=0),MID('Special Help Table'!$A755,SEARCH(",",'Special Help Table'!$A755)+1,(SEARCH(";",'Special Help Table'!$A755)-1)-SEARCH(",",'Special Help Table'!$A755))&amp;" "&amp;LEFT('Special Help Table'!$A755,SEARCH(",",'Special Help Table'!$A755)-1)&amp;";"&amp;RIGHT('Special Help Table'!$A755,LEN('Special Help Table'!$A755)-SEARCH(",",'Special Help Table'!$A755,SEARCH(";",'Special Help Table'!$A755)))&amp;" "&amp;MID('Special Help Table'!$A755,SEARCH("; ",'Special Help Table'!$A755)+2,SEARCH(",",'Special Help Table'!$A755,SEARCH(";",'Special Help Table'!$A755))-SEARCH(";",'Special Help Table'!$A755)-2),AND(LEN('Special Help Table'!$A755)-LEN(SUBSTITUTE('Special Help Table'!$A755,"and ",""))=0,LEN('Special Help Table'!$A755)-LEN(SUBSTITUTE('Special Help Table'!$A755,";",""))=0),'Special Help Table'!$A755,AND(LEN('Special Help Table'!$A755)-LEN(SUBSTITUTE('Special Help Table'!$A755,",","")=1),LEN('Special Help Table'!$A755)-LEN(SUBSTITUTE('Special Help Table'!$A755," ","")=20),LEN('Special Help Table'!$A755)-LEN(SUBSTITUTE('Special Help Table'!$A755," and",""))=0,LEN('Special Help Table'!$A755)-LEN(SUBSTITUTE('Special Help Table'!$A755,",","",FIND(" ",'Special Help Table'!$A755)+1))=0),RIGHT('Special Help Table'!$A755,LEN('Special Help Table'!$A755)-FIND(", ",'Special Help Table'!$A755))&amp;" "&amp;LEFT('Special Help Table'!$A755,FIND(",",'Special Help Table'!$A755)-1),AND(LEN('Special Help Table'!$A755)-LEN(SUBSTITUTE('Special Help Table'!$A755,"editor",""))=6,LEN('Special Help Table'!$A755)-LEN(SUBSTITUTE('Special Help Table'!$A755,"(",""))=0,LEN('Special Help Table'!$A755)-LEN(SUBSTITUTE('Special Help Table'!$A755,"and",""))=3,LEN('Special Help Table'!$A755)-LEN(SUBSTITUTE('Special Help Table'!$A755,",",""))=1,LEN('Special Help Table'!$A755)-LEN(SUBSTITUTE('Special Help Table'!$A755," ",""))=3),'Special Help Table'!$A755)</f>
        <v xml:space="preserve"> Thomas Watson</v>
      </c>
      <c r="C755" s="4" t="s">
        <v>1393</v>
      </c>
      <c r="D755" s="2"/>
      <c r="E755" s="2" t="s">
        <v>16</v>
      </c>
      <c r="F755" s="2" t="s">
        <v>28</v>
      </c>
      <c r="G755" s="2"/>
      <c r="H755" s="2" t="s">
        <v>82</v>
      </c>
      <c r="I755" s="2"/>
      <c r="J755" s="2"/>
      <c r="K755" s="3"/>
      <c r="L755" s="2"/>
      <c r="M755" s="2"/>
      <c r="N755" s="2" t="s">
        <v>18</v>
      </c>
    </row>
    <row r="756" spans="1:14" ht="15.75" customHeight="1" x14ac:dyDescent="0.35">
      <c r="A756" s="2" t="s">
        <v>1392</v>
      </c>
      <c r="B756" s="2" t="str" cm="1">
        <f t="array" ref="B756">_xlfn.IFS(AND(LEN('Special Help Table'!$A756)-(LEN(SUBSTITUTE('Special Help Table'!$A756,";","")))=0,LEN('Special Help Table'!$A756)-LEN(SUBSTITUTE('Special Help Table'!$A756,",",""))=1,LEN('Special Help Table'!$A756)-LEN(SUBSTITUTE('Special Help Table'!$A756,"and ",""))=0),MID('Special Help Table'!$A756&amp;" "&amp;'Special Help Table'!$A756,SEARCH(", ",'Special Help Table'!$A756)+1,LEN('Special Help Table'!$A756)),AND(LEN('Special Help Table'!$A756)-(LEN(SUBSTITUTE('Special Help Table'!$A756,";","")))=1,LEN('Special Help Table'!$A756)-LEN(SUBSTITUTE('Special Help Table'!$A756,"and ",""))=0),MID('Special Help Table'!$A756,SEARCH(",",'Special Help Table'!$A756)+1,(SEARCH(";",'Special Help Table'!$A756)-1)-SEARCH(",",'Special Help Table'!$A756))&amp;" "&amp;LEFT('Special Help Table'!$A756,SEARCH(",",'Special Help Table'!$A756)-1)&amp;";"&amp;RIGHT('Special Help Table'!$A756,LEN('Special Help Table'!$A756)-SEARCH(",",'Special Help Table'!$A756,SEARCH(";",'Special Help Table'!$A756)))&amp;" "&amp;MID('Special Help Table'!$A756,SEARCH("; ",'Special Help Table'!$A756)+2,SEARCH(",",'Special Help Table'!$A756,SEARCH(";",'Special Help Table'!$A756))-SEARCH(";",'Special Help Table'!$A756)-2),AND(LEN('Special Help Table'!$A756)-LEN(SUBSTITUTE('Special Help Table'!$A756,"and ",""))=0,LEN('Special Help Table'!$A756)-LEN(SUBSTITUTE('Special Help Table'!$A756,";",""))=0),'Special Help Table'!$A756,AND(LEN('Special Help Table'!$A756)-LEN(SUBSTITUTE('Special Help Table'!$A756,",","")=1),LEN('Special Help Table'!$A756)-LEN(SUBSTITUTE('Special Help Table'!$A756," ","")=20),LEN('Special Help Table'!$A756)-LEN(SUBSTITUTE('Special Help Table'!$A756," and",""))=0,LEN('Special Help Table'!$A756)-LEN(SUBSTITUTE('Special Help Table'!$A756,",","",FIND(" ",'Special Help Table'!$A756)+1))=0),RIGHT('Special Help Table'!$A756,LEN('Special Help Table'!$A756)-FIND(", ",'Special Help Table'!$A756))&amp;" "&amp;LEFT('Special Help Table'!$A756,FIND(",",'Special Help Table'!$A756)-1),AND(LEN('Special Help Table'!$A756)-LEN(SUBSTITUTE('Special Help Table'!$A756,"editor",""))=6,LEN('Special Help Table'!$A756)-LEN(SUBSTITUTE('Special Help Table'!$A756,"(",""))=0,LEN('Special Help Table'!$A756)-LEN(SUBSTITUTE('Special Help Table'!$A756,"and",""))=3,LEN('Special Help Table'!$A756)-LEN(SUBSTITUTE('Special Help Table'!$A756,",",""))=1,LEN('Special Help Table'!$A756)-LEN(SUBSTITUTE('Special Help Table'!$A756," ",""))=3),'Special Help Table'!$A756)</f>
        <v xml:space="preserve"> Thomas Watson</v>
      </c>
      <c r="C756" s="4" t="s">
        <v>1394</v>
      </c>
      <c r="D756" s="2" t="s">
        <v>1395</v>
      </c>
      <c r="E756" s="2" t="s">
        <v>16</v>
      </c>
      <c r="F756" s="2" t="s">
        <v>36</v>
      </c>
      <c r="G756" s="2"/>
      <c r="H756" s="2" t="s">
        <v>82</v>
      </c>
      <c r="I756" s="2"/>
      <c r="J756" s="2"/>
      <c r="K756" s="3">
        <v>43872</v>
      </c>
      <c r="L756" s="2"/>
      <c r="M756" s="2"/>
      <c r="N756" s="2" t="s">
        <v>18</v>
      </c>
    </row>
    <row r="757" spans="1:14" ht="15.75" customHeight="1" x14ac:dyDescent="0.35">
      <c r="A757" s="2" t="s">
        <v>1396</v>
      </c>
      <c r="B757" s="2" t="str" cm="1">
        <f t="array" ref="B757">_xlfn.IFS(AND(LEN('Special Help Table'!$A757)-(LEN(SUBSTITUTE('Special Help Table'!$A757,";","")))=0,LEN('Special Help Table'!$A757)-LEN(SUBSTITUTE('Special Help Table'!$A757,",",""))=1,LEN('Special Help Table'!$A757)-LEN(SUBSTITUTE('Special Help Table'!$A757,"and ",""))=0),MID('Special Help Table'!$A757&amp;" "&amp;'Special Help Table'!$A757,SEARCH(", ",'Special Help Table'!$A757)+1,LEN('Special Help Table'!$A757)),AND(LEN('Special Help Table'!$A757)-(LEN(SUBSTITUTE('Special Help Table'!$A757,";","")))=1,LEN('Special Help Table'!$A757)-LEN(SUBSTITUTE('Special Help Table'!$A757,"and ",""))=0),MID('Special Help Table'!$A757,SEARCH(",",'Special Help Table'!$A757)+1,(SEARCH(";",'Special Help Table'!$A757)-1)-SEARCH(",",'Special Help Table'!$A757))&amp;" "&amp;LEFT('Special Help Table'!$A757,SEARCH(",",'Special Help Table'!$A757)-1)&amp;";"&amp;RIGHT('Special Help Table'!$A757,LEN('Special Help Table'!$A757)-SEARCH(",",'Special Help Table'!$A757,SEARCH(";",'Special Help Table'!$A757)))&amp;" "&amp;MID('Special Help Table'!$A757,SEARCH("; ",'Special Help Table'!$A757)+2,SEARCH(",",'Special Help Table'!$A757,SEARCH(";",'Special Help Table'!$A757))-SEARCH(";",'Special Help Table'!$A757)-2),AND(LEN('Special Help Table'!$A757)-LEN(SUBSTITUTE('Special Help Table'!$A757,"and ",""))=0,LEN('Special Help Table'!$A757)-LEN(SUBSTITUTE('Special Help Table'!$A757,";",""))=0),'Special Help Table'!$A757,AND(LEN('Special Help Table'!$A757)-LEN(SUBSTITUTE('Special Help Table'!$A757,",","")=1),LEN('Special Help Table'!$A757)-LEN(SUBSTITUTE('Special Help Table'!$A757," ","")=20),LEN('Special Help Table'!$A757)-LEN(SUBSTITUTE('Special Help Table'!$A757," and",""))=0,LEN('Special Help Table'!$A757)-LEN(SUBSTITUTE('Special Help Table'!$A757,",","",FIND(" ",'Special Help Table'!$A757)+1))=0),RIGHT('Special Help Table'!$A757,LEN('Special Help Table'!$A757)-FIND(", ",'Special Help Table'!$A757))&amp;" "&amp;LEFT('Special Help Table'!$A757,FIND(",",'Special Help Table'!$A757)-1),AND(LEN('Special Help Table'!$A757)-LEN(SUBSTITUTE('Special Help Table'!$A757,"editor",""))=6,LEN('Special Help Table'!$A757)-LEN(SUBSTITUTE('Special Help Table'!$A757,"(",""))=0,LEN('Special Help Table'!$A757)-LEN(SUBSTITUTE('Special Help Table'!$A757,"and",""))=3,LEN('Special Help Table'!$A757)-LEN(SUBSTITUTE('Special Help Table'!$A757,",",""))=1,LEN('Special Help Table'!$A757)-LEN(SUBSTITUTE('Special Help Table'!$A757," ",""))=3),'Special Help Table'!$A757)</f>
        <v xml:space="preserve"> et al. Wehman</v>
      </c>
      <c r="C757" s="4" t="s">
        <v>1397</v>
      </c>
      <c r="D757" s="2"/>
      <c r="E757" s="2" t="s">
        <v>16</v>
      </c>
      <c r="F757" s="2" t="s">
        <v>92</v>
      </c>
      <c r="G757" s="2"/>
      <c r="H757" s="2"/>
      <c r="I757" s="2"/>
      <c r="J757" s="2"/>
      <c r="K757" s="3">
        <v>40039</v>
      </c>
      <c r="L757" s="2"/>
      <c r="M757" s="2"/>
      <c r="N757" s="2" t="s">
        <v>18</v>
      </c>
    </row>
    <row r="758" spans="1:14" ht="15.75" customHeight="1" x14ac:dyDescent="0.35">
      <c r="A758" s="2" t="s">
        <v>1398</v>
      </c>
      <c r="B758" s="2" t="str" cm="1">
        <f t="array" ref="B758">_xlfn.IFS(AND(LEN('Special Help Table'!$A758)-(LEN(SUBSTITUTE('Special Help Table'!$A758,";","")))=0,LEN('Special Help Table'!$A758)-LEN(SUBSTITUTE('Special Help Table'!$A758,",",""))=1,LEN('Special Help Table'!$A758)-LEN(SUBSTITUTE('Special Help Table'!$A758,"and ",""))=0),MID('Special Help Table'!$A758&amp;" "&amp;'Special Help Table'!$A758,SEARCH(", ",'Special Help Table'!$A758)+1,LEN('Special Help Table'!$A758)),AND(LEN('Special Help Table'!$A758)-(LEN(SUBSTITUTE('Special Help Table'!$A758,";","")))=1,LEN('Special Help Table'!$A758)-LEN(SUBSTITUTE('Special Help Table'!$A758,"and ",""))=0),MID('Special Help Table'!$A758,SEARCH(",",'Special Help Table'!$A758)+1,(SEARCH(";",'Special Help Table'!$A758)-1)-SEARCH(",",'Special Help Table'!$A758))&amp;" "&amp;LEFT('Special Help Table'!$A758,SEARCH(",",'Special Help Table'!$A758)-1)&amp;";"&amp;RIGHT('Special Help Table'!$A758,LEN('Special Help Table'!$A758)-SEARCH(",",'Special Help Table'!$A758,SEARCH(";",'Special Help Table'!$A758)))&amp;" "&amp;MID('Special Help Table'!$A758,SEARCH("; ",'Special Help Table'!$A758)+2,SEARCH(",",'Special Help Table'!$A758,SEARCH(";",'Special Help Table'!$A758))-SEARCH(";",'Special Help Table'!$A758)-2),AND(LEN('Special Help Table'!$A758)-LEN(SUBSTITUTE('Special Help Table'!$A758,"and ",""))=0,LEN('Special Help Table'!$A758)-LEN(SUBSTITUTE('Special Help Table'!$A758,";",""))=0),'Special Help Table'!$A758,AND(LEN('Special Help Table'!$A758)-LEN(SUBSTITUTE('Special Help Table'!$A758,",","")=1),LEN('Special Help Table'!$A758)-LEN(SUBSTITUTE('Special Help Table'!$A758," ","")=20),LEN('Special Help Table'!$A758)-LEN(SUBSTITUTE('Special Help Table'!$A758," and",""))=0,LEN('Special Help Table'!$A758)-LEN(SUBSTITUTE('Special Help Table'!$A758,",","",FIND(" ",'Special Help Table'!$A758)+1))=0),RIGHT('Special Help Table'!$A758,LEN('Special Help Table'!$A758)-FIND(", ",'Special Help Table'!$A758))&amp;" "&amp;LEFT('Special Help Table'!$A758,FIND(",",'Special Help Table'!$A758)-1),AND(LEN('Special Help Table'!$A758)-LEN(SUBSTITUTE('Special Help Table'!$A758,"editor",""))=6,LEN('Special Help Table'!$A758)-LEN(SUBSTITUTE('Special Help Table'!$A758,"(",""))=0,LEN('Special Help Table'!$A758)-LEN(SUBSTITUTE('Special Help Table'!$A758,"and",""))=3,LEN('Special Help Table'!$A758)-LEN(SUBSTITUTE('Special Help Table'!$A758,",",""))=1,LEN('Special Help Table'!$A758)-LEN(SUBSTITUTE('Special Help Table'!$A758," ",""))=3),'Special Help Table'!$A758)</f>
        <v xml:space="preserve"> Edward T Welch</v>
      </c>
      <c r="C758" s="4" t="s">
        <v>1399</v>
      </c>
      <c r="D758" s="2"/>
      <c r="E758" s="2" t="s">
        <v>16</v>
      </c>
      <c r="F758" s="2" t="s">
        <v>17</v>
      </c>
      <c r="G758" s="2"/>
      <c r="H758" s="2"/>
      <c r="I758" s="2"/>
      <c r="J758" s="2" t="s">
        <v>1400</v>
      </c>
      <c r="K758" s="3">
        <v>40040</v>
      </c>
      <c r="L758" s="2"/>
      <c r="M758" s="2"/>
      <c r="N758" s="2" t="s">
        <v>18</v>
      </c>
    </row>
    <row r="759" spans="1:14" ht="15.75" customHeight="1" x14ac:dyDescent="0.35">
      <c r="A759" s="2" t="s">
        <v>1398</v>
      </c>
      <c r="B759" s="2" t="str" cm="1">
        <f t="array" ref="B759">_xlfn.IFS(AND(LEN('Special Help Table'!$A759)-(LEN(SUBSTITUTE('Special Help Table'!$A759,";","")))=0,LEN('Special Help Table'!$A759)-LEN(SUBSTITUTE('Special Help Table'!$A759,",",""))=1,LEN('Special Help Table'!$A759)-LEN(SUBSTITUTE('Special Help Table'!$A759,"and ",""))=0),MID('Special Help Table'!$A759&amp;" "&amp;'Special Help Table'!$A759,SEARCH(", ",'Special Help Table'!$A759)+1,LEN('Special Help Table'!$A759)),AND(LEN('Special Help Table'!$A759)-(LEN(SUBSTITUTE('Special Help Table'!$A759,";","")))=1,LEN('Special Help Table'!$A759)-LEN(SUBSTITUTE('Special Help Table'!$A759,"and ",""))=0),MID('Special Help Table'!$A759,SEARCH(",",'Special Help Table'!$A759)+1,(SEARCH(";",'Special Help Table'!$A759)-1)-SEARCH(",",'Special Help Table'!$A759))&amp;" "&amp;LEFT('Special Help Table'!$A759,SEARCH(",",'Special Help Table'!$A759)-1)&amp;";"&amp;RIGHT('Special Help Table'!$A759,LEN('Special Help Table'!$A759)-SEARCH(",",'Special Help Table'!$A759,SEARCH(";",'Special Help Table'!$A759)))&amp;" "&amp;MID('Special Help Table'!$A759,SEARCH("; ",'Special Help Table'!$A759)+2,SEARCH(",",'Special Help Table'!$A759,SEARCH(";",'Special Help Table'!$A759))-SEARCH(";",'Special Help Table'!$A759)-2),AND(LEN('Special Help Table'!$A759)-LEN(SUBSTITUTE('Special Help Table'!$A759,"and ",""))=0,LEN('Special Help Table'!$A759)-LEN(SUBSTITUTE('Special Help Table'!$A759,";",""))=0),'Special Help Table'!$A759,AND(LEN('Special Help Table'!$A759)-LEN(SUBSTITUTE('Special Help Table'!$A759,",","")=1),LEN('Special Help Table'!$A759)-LEN(SUBSTITUTE('Special Help Table'!$A759," ","")=20),LEN('Special Help Table'!$A759)-LEN(SUBSTITUTE('Special Help Table'!$A759," and",""))=0,LEN('Special Help Table'!$A759)-LEN(SUBSTITUTE('Special Help Table'!$A759,",","",FIND(" ",'Special Help Table'!$A759)+1))=0),RIGHT('Special Help Table'!$A759,LEN('Special Help Table'!$A759)-FIND(", ",'Special Help Table'!$A759))&amp;" "&amp;LEFT('Special Help Table'!$A759,FIND(",",'Special Help Table'!$A759)-1),AND(LEN('Special Help Table'!$A759)-LEN(SUBSTITUTE('Special Help Table'!$A759,"editor",""))=6,LEN('Special Help Table'!$A759)-LEN(SUBSTITUTE('Special Help Table'!$A759,"(",""))=0,LEN('Special Help Table'!$A759)-LEN(SUBSTITUTE('Special Help Table'!$A759,"and",""))=3,LEN('Special Help Table'!$A759)-LEN(SUBSTITUTE('Special Help Table'!$A759,",",""))=1,LEN('Special Help Table'!$A759)-LEN(SUBSTITUTE('Special Help Table'!$A759," ",""))=3),'Special Help Table'!$A759)</f>
        <v xml:space="preserve"> Edward T Welch</v>
      </c>
      <c r="C759" s="4" t="s">
        <v>1401</v>
      </c>
      <c r="D759" s="2"/>
      <c r="E759" s="2" t="s">
        <v>16</v>
      </c>
      <c r="F759" s="2" t="s">
        <v>17</v>
      </c>
      <c r="G759" s="2"/>
      <c r="H759" s="2"/>
      <c r="I759" s="2"/>
      <c r="J759" s="2" t="s">
        <v>22</v>
      </c>
      <c r="K759" s="3">
        <v>40041</v>
      </c>
      <c r="L759" s="2"/>
      <c r="M759" s="2"/>
      <c r="N759" s="2" t="s">
        <v>18</v>
      </c>
    </row>
    <row r="760" spans="1:14" ht="15.75" customHeight="1" x14ac:dyDescent="0.35">
      <c r="A760" s="2" t="s">
        <v>1398</v>
      </c>
      <c r="B760" s="2" t="str" cm="1">
        <f t="array" ref="B760">_xlfn.IFS(AND(LEN('Special Help Table'!$A760)-(LEN(SUBSTITUTE('Special Help Table'!$A760,";","")))=0,LEN('Special Help Table'!$A760)-LEN(SUBSTITUTE('Special Help Table'!$A760,",",""))=1,LEN('Special Help Table'!$A760)-LEN(SUBSTITUTE('Special Help Table'!$A760,"and ",""))=0),MID('Special Help Table'!$A760&amp;" "&amp;'Special Help Table'!$A760,SEARCH(", ",'Special Help Table'!$A760)+1,LEN('Special Help Table'!$A760)),AND(LEN('Special Help Table'!$A760)-(LEN(SUBSTITUTE('Special Help Table'!$A760,";","")))=1,LEN('Special Help Table'!$A760)-LEN(SUBSTITUTE('Special Help Table'!$A760,"and ",""))=0),MID('Special Help Table'!$A760,SEARCH(",",'Special Help Table'!$A760)+1,(SEARCH(";",'Special Help Table'!$A760)-1)-SEARCH(",",'Special Help Table'!$A760))&amp;" "&amp;LEFT('Special Help Table'!$A760,SEARCH(",",'Special Help Table'!$A760)-1)&amp;";"&amp;RIGHT('Special Help Table'!$A760,LEN('Special Help Table'!$A760)-SEARCH(",",'Special Help Table'!$A760,SEARCH(";",'Special Help Table'!$A760)))&amp;" "&amp;MID('Special Help Table'!$A760,SEARCH("; ",'Special Help Table'!$A760)+2,SEARCH(",",'Special Help Table'!$A760,SEARCH(";",'Special Help Table'!$A760))-SEARCH(";",'Special Help Table'!$A760)-2),AND(LEN('Special Help Table'!$A760)-LEN(SUBSTITUTE('Special Help Table'!$A760,"and ",""))=0,LEN('Special Help Table'!$A760)-LEN(SUBSTITUTE('Special Help Table'!$A760,";",""))=0),'Special Help Table'!$A760,AND(LEN('Special Help Table'!$A760)-LEN(SUBSTITUTE('Special Help Table'!$A760,",","")=1),LEN('Special Help Table'!$A760)-LEN(SUBSTITUTE('Special Help Table'!$A760," ","")=20),LEN('Special Help Table'!$A760)-LEN(SUBSTITUTE('Special Help Table'!$A760," and",""))=0,LEN('Special Help Table'!$A760)-LEN(SUBSTITUTE('Special Help Table'!$A760,",","",FIND(" ",'Special Help Table'!$A760)+1))=0),RIGHT('Special Help Table'!$A760,LEN('Special Help Table'!$A760)-FIND(", ",'Special Help Table'!$A760))&amp;" "&amp;LEFT('Special Help Table'!$A760,FIND(",",'Special Help Table'!$A760)-1),AND(LEN('Special Help Table'!$A760)-LEN(SUBSTITUTE('Special Help Table'!$A760,"editor",""))=6,LEN('Special Help Table'!$A760)-LEN(SUBSTITUTE('Special Help Table'!$A760,"(",""))=0,LEN('Special Help Table'!$A760)-LEN(SUBSTITUTE('Special Help Table'!$A760,"and",""))=3,LEN('Special Help Table'!$A760)-LEN(SUBSTITUTE('Special Help Table'!$A760,",",""))=1,LEN('Special Help Table'!$A760)-LEN(SUBSTITUTE('Special Help Table'!$A760," ",""))=3),'Special Help Table'!$A760)</f>
        <v xml:space="preserve"> Edward T Welch</v>
      </c>
      <c r="C760" s="4" t="s">
        <v>1402</v>
      </c>
      <c r="D760" s="2"/>
      <c r="E760" s="2" t="s">
        <v>16</v>
      </c>
      <c r="F760" s="2" t="s">
        <v>17</v>
      </c>
      <c r="G760" s="2"/>
      <c r="H760" s="2"/>
      <c r="I760" s="2"/>
      <c r="J760" s="2" t="s">
        <v>89</v>
      </c>
      <c r="K760" s="3">
        <v>40042</v>
      </c>
      <c r="L760" s="2"/>
      <c r="M760" s="2"/>
      <c r="N760" s="2" t="s">
        <v>18</v>
      </c>
    </row>
    <row r="761" spans="1:14" ht="15.75" customHeight="1" x14ac:dyDescent="0.35">
      <c r="A761" s="2" t="s">
        <v>1398</v>
      </c>
      <c r="B761" s="2" t="str" cm="1">
        <f t="array" ref="B761">_xlfn.IFS(AND(LEN('Special Help Table'!$A761)-(LEN(SUBSTITUTE('Special Help Table'!$A761,";","")))=0,LEN('Special Help Table'!$A761)-LEN(SUBSTITUTE('Special Help Table'!$A761,",",""))=1,LEN('Special Help Table'!$A761)-LEN(SUBSTITUTE('Special Help Table'!$A761,"and ",""))=0),MID('Special Help Table'!$A761&amp;" "&amp;'Special Help Table'!$A761,SEARCH(", ",'Special Help Table'!$A761)+1,LEN('Special Help Table'!$A761)),AND(LEN('Special Help Table'!$A761)-(LEN(SUBSTITUTE('Special Help Table'!$A761,";","")))=1,LEN('Special Help Table'!$A761)-LEN(SUBSTITUTE('Special Help Table'!$A761,"and ",""))=0),MID('Special Help Table'!$A761,SEARCH(",",'Special Help Table'!$A761)+1,(SEARCH(";",'Special Help Table'!$A761)-1)-SEARCH(",",'Special Help Table'!$A761))&amp;" "&amp;LEFT('Special Help Table'!$A761,SEARCH(",",'Special Help Table'!$A761)-1)&amp;";"&amp;RIGHT('Special Help Table'!$A761,LEN('Special Help Table'!$A761)-SEARCH(",",'Special Help Table'!$A761,SEARCH(";",'Special Help Table'!$A761)))&amp;" "&amp;MID('Special Help Table'!$A761,SEARCH("; ",'Special Help Table'!$A761)+2,SEARCH(",",'Special Help Table'!$A761,SEARCH(";",'Special Help Table'!$A761))-SEARCH(";",'Special Help Table'!$A761)-2),AND(LEN('Special Help Table'!$A761)-LEN(SUBSTITUTE('Special Help Table'!$A761,"and ",""))=0,LEN('Special Help Table'!$A761)-LEN(SUBSTITUTE('Special Help Table'!$A761,";",""))=0),'Special Help Table'!$A761,AND(LEN('Special Help Table'!$A761)-LEN(SUBSTITUTE('Special Help Table'!$A761,",","")=1),LEN('Special Help Table'!$A761)-LEN(SUBSTITUTE('Special Help Table'!$A761," ","")=20),LEN('Special Help Table'!$A761)-LEN(SUBSTITUTE('Special Help Table'!$A761," and",""))=0,LEN('Special Help Table'!$A761)-LEN(SUBSTITUTE('Special Help Table'!$A761,",","",FIND(" ",'Special Help Table'!$A761)+1))=0),RIGHT('Special Help Table'!$A761,LEN('Special Help Table'!$A761)-FIND(", ",'Special Help Table'!$A761))&amp;" "&amp;LEFT('Special Help Table'!$A761,FIND(",",'Special Help Table'!$A761)-1),AND(LEN('Special Help Table'!$A761)-LEN(SUBSTITUTE('Special Help Table'!$A761,"editor",""))=6,LEN('Special Help Table'!$A761)-LEN(SUBSTITUTE('Special Help Table'!$A761,"(",""))=0,LEN('Special Help Table'!$A761)-LEN(SUBSTITUTE('Special Help Table'!$A761,"and",""))=3,LEN('Special Help Table'!$A761)-LEN(SUBSTITUTE('Special Help Table'!$A761,",",""))=1,LEN('Special Help Table'!$A761)-LEN(SUBSTITUTE('Special Help Table'!$A761," ",""))=3),'Special Help Table'!$A761)</f>
        <v xml:space="preserve"> Edward T Welch</v>
      </c>
      <c r="C761" s="4" t="s">
        <v>1403</v>
      </c>
      <c r="D761" s="2"/>
      <c r="E761" s="2" t="s">
        <v>16</v>
      </c>
      <c r="F761" s="2" t="s">
        <v>17</v>
      </c>
      <c r="G761" s="2"/>
      <c r="H761" s="2"/>
      <c r="I761" s="2"/>
      <c r="J761" s="2" t="s">
        <v>89</v>
      </c>
      <c r="K761" s="3">
        <v>41225</v>
      </c>
      <c r="L761" s="2"/>
      <c r="M761" s="2"/>
      <c r="N761" s="2" t="s">
        <v>18</v>
      </c>
    </row>
    <row r="762" spans="1:14" ht="15.75" customHeight="1" x14ac:dyDescent="0.35">
      <c r="A762" s="2" t="s">
        <v>1398</v>
      </c>
      <c r="B762" s="2" t="str" cm="1">
        <f t="array" ref="B762">_xlfn.IFS(AND(LEN('Special Help Table'!$A762)-(LEN(SUBSTITUTE('Special Help Table'!$A762,";","")))=0,LEN('Special Help Table'!$A762)-LEN(SUBSTITUTE('Special Help Table'!$A762,",",""))=1,LEN('Special Help Table'!$A762)-LEN(SUBSTITUTE('Special Help Table'!$A762,"and ",""))=0),MID('Special Help Table'!$A762&amp;" "&amp;'Special Help Table'!$A762,SEARCH(", ",'Special Help Table'!$A762)+1,LEN('Special Help Table'!$A762)),AND(LEN('Special Help Table'!$A762)-(LEN(SUBSTITUTE('Special Help Table'!$A762,";","")))=1,LEN('Special Help Table'!$A762)-LEN(SUBSTITUTE('Special Help Table'!$A762,"and ",""))=0),MID('Special Help Table'!$A762,SEARCH(",",'Special Help Table'!$A762)+1,(SEARCH(";",'Special Help Table'!$A762)-1)-SEARCH(",",'Special Help Table'!$A762))&amp;" "&amp;LEFT('Special Help Table'!$A762,SEARCH(",",'Special Help Table'!$A762)-1)&amp;";"&amp;RIGHT('Special Help Table'!$A762,LEN('Special Help Table'!$A762)-SEARCH(",",'Special Help Table'!$A762,SEARCH(";",'Special Help Table'!$A762)))&amp;" "&amp;MID('Special Help Table'!$A762,SEARCH("; ",'Special Help Table'!$A762)+2,SEARCH(",",'Special Help Table'!$A762,SEARCH(";",'Special Help Table'!$A762))-SEARCH(";",'Special Help Table'!$A762)-2),AND(LEN('Special Help Table'!$A762)-LEN(SUBSTITUTE('Special Help Table'!$A762,"and ",""))=0,LEN('Special Help Table'!$A762)-LEN(SUBSTITUTE('Special Help Table'!$A762,";",""))=0),'Special Help Table'!$A762,AND(LEN('Special Help Table'!$A762)-LEN(SUBSTITUTE('Special Help Table'!$A762,",","")=1),LEN('Special Help Table'!$A762)-LEN(SUBSTITUTE('Special Help Table'!$A762," ","")=20),LEN('Special Help Table'!$A762)-LEN(SUBSTITUTE('Special Help Table'!$A762," and",""))=0,LEN('Special Help Table'!$A762)-LEN(SUBSTITUTE('Special Help Table'!$A762,",","",FIND(" ",'Special Help Table'!$A762)+1))=0),RIGHT('Special Help Table'!$A762,LEN('Special Help Table'!$A762)-FIND(", ",'Special Help Table'!$A762))&amp;" "&amp;LEFT('Special Help Table'!$A762,FIND(",",'Special Help Table'!$A762)-1),AND(LEN('Special Help Table'!$A762)-LEN(SUBSTITUTE('Special Help Table'!$A762,"editor",""))=6,LEN('Special Help Table'!$A762)-LEN(SUBSTITUTE('Special Help Table'!$A762,"(",""))=0,LEN('Special Help Table'!$A762)-LEN(SUBSTITUTE('Special Help Table'!$A762,"and",""))=3,LEN('Special Help Table'!$A762)-LEN(SUBSTITUTE('Special Help Table'!$A762,",",""))=1,LEN('Special Help Table'!$A762)-LEN(SUBSTITUTE('Special Help Table'!$A762," ",""))=3),'Special Help Table'!$A762)</f>
        <v xml:space="preserve"> Edward T Welch</v>
      </c>
      <c r="C762" s="4" t="s">
        <v>1404</v>
      </c>
      <c r="D762" s="2" t="s">
        <v>302</v>
      </c>
      <c r="E762" s="2" t="s">
        <v>16</v>
      </c>
      <c r="F762" s="2" t="s">
        <v>72</v>
      </c>
      <c r="G762" s="2"/>
      <c r="H762" s="2"/>
      <c r="I762" s="2"/>
      <c r="J762" s="2"/>
      <c r="K762" s="3">
        <v>43831</v>
      </c>
      <c r="L762" s="2"/>
      <c r="M762" s="2"/>
      <c r="N762" s="2" t="s">
        <v>18</v>
      </c>
    </row>
    <row r="763" spans="1:14" ht="15.75" customHeight="1" x14ac:dyDescent="0.35">
      <c r="A763" s="2" t="s">
        <v>1398</v>
      </c>
      <c r="B763" s="2" t="str" cm="1">
        <f t="array" ref="B763">_xlfn.IFS(AND(LEN('Special Help Table'!$A763)-(LEN(SUBSTITUTE('Special Help Table'!$A763,";","")))=0,LEN('Special Help Table'!$A763)-LEN(SUBSTITUTE('Special Help Table'!$A763,",",""))=1,LEN('Special Help Table'!$A763)-LEN(SUBSTITUTE('Special Help Table'!$A763,"and ",""))=0),MID('Special Help Table'!$A763&amp;" "&amp;'Special Help Table'!$A763,SEARCH(", ",'Special Help Table'!$A763)+1,LEN('Special Help Table'!$A763)),AND(LEN('Special Help Table'!$A763)-(LEN(SUBSTITUTE('Special Help Table'!$A763,";","")))=1,LEN('Special Help Table'!$A763)-LEN(SUBSTITUTE('Special Help Table'!$A763,"and ",""))=0),MID('Special Help Table'!$A763,SEARCH(",",'Special Help Table'!$A763)+1,(SEARCH(";",'Special Help Table'!$A763)-1)-SEARCH(",",'Special Help Table'!$A763))&amp;" "&amp;LEFT('Special Help Table'!$A763,SEARCH(",",'Special Help Table'!$A763)-1)&amp;";"&amp;RIGHT('Special Help Table'!$A763,LEN('Special Help Table'!$A763)-SEARCH(",",'Special Help Table'!$A763,SEARCH(";",'Special Help Table'!$A763)))&amp;" "&amp;MID('Special Help Table'!$A763,SEARCH("; ",'Special Help Table'!$A763)+2,SEARCH(",",'Special Help Table'!$A763,SEARCH(";",'Special Help Table'!$A763))-SEARCH(";",'Special Help Table'!$A763)-2),AND(LEN('Special Help Table'!$A763)-LEN(SUBSTITUTE('Special Help Table'!$A763,"and ",""))=0,LEN('Special Help Table'!$A763)-LEN(SUBSTITUTE('Special Help Table'!$A763,";",""))=0),'Special Help Table'!$A763,AND(LEN('Special Help Table'!$A763)-LEN(SUBSTITUTE('Special Help Table'!$A763,",","")=1),LEN('Special Help Table'!$A763)-LEN(SUBSTITUTE('Special Help Table'!$A763," ","")=20),LEN('Special Help Table'!$A763)-LEN(SUBSTITUTE('Special Help Table'!$A763," and",""))=0,LEN('Special Help Table'!$A763)-LEN(SUBSTITUTE('Special Help Table'!$A763,",","",FIND(" ",'Special Help Table'!$A763)+1))=0),RIGHT('Special Help Table'!$A763,LEN('Special Help Table'!$A763)-FIND(", ",'Special Help Table'!$A763))&amp;" "&amp;LEFT('Special Help Table'!$A763,FIND(",",'Special Help Table'!$A763)-1),AND(LEN('Special Help Table'!$A763)-LEN(SUBSTITUTE('Special Help Table'!$A763,"editor",""))=6,LEN('Special Help Table'!$A763)-LEN(SUBSTITUTE('Special Help Table'!$A763,"(",""))=0,LEN('Special Help Table'!$A763)-LEN(SUBSTITUTE('Special Help Table'!$A763,"and",""))=3,LEN('Special Help Table'!$A763)-LEN(SUBSTITUTE('Special Help Table'!$A763,",",""))=1,LEN('Special Help Table'!$A763)-LEN(SUBSTITUTE('Special Help Table'!$A763," ",""))=3),'Special Help Table'!$A763)</f>
        <v xml:space="preserve"> Edward T Welch</v>
      </c>
      <c r="C763" s="4" t="s">
        <v>1405</v>
      </c>
      <c r="D763" s="2" t="s">
        <v>1129</v>
      </c>
      <c r="E763" s="2" t="s">
        <v>16</v>
      </c>
      <c r="F763" s="2" t="s">
        <v>17</v>
      </c>
      <c r="G763" s="2"/>
      <c r="H763" s="2"/>
      <c r="I763" s="2"/>
      <c r="J763" s="2" t="s">
        <v>56</v>
      </c>
      <c r="K763" s="3">
        <v>41773</v>
      </c>
      <c r="L763" s="2"/>
      <c r="M763" s="2"/>
      <c r="N763" s="2" t="s">
        <v>18</v>
      </c>
    </row>
    <row r="764" spans="1:14" ht="15.75" customHeight="1" x14ac:dyDescent="0.35">
      <c r="A764" s="2" t="s">
        <v>1398</v>
      </c>
      <c r="B764" s="2" t="str" cm="1">
        <f t="array" ref="B764">_xlfn.IFS(AND(LEN('Special Help Table'!$A764)-(LEN(SUBSTITUTE('Special Help Table'!$A764,";","")))=0,LEN('Special Help Table'!$A764)-LEN(SUBSTITUTE('Special Help Table'!$A764,",",""))=1,LEN('Special Help Table'!$A764)-LEN(SUBSTITUTE('Special Help Table'!$A764,"and ",""))=0),MID('Special Help Table'!$A764&amp;" "&amp;'Special Help Table'!$A764,SEARCH(", ",'Special Help Table'!$A764)+1,LEN('Special Help Table'!$A764)),AND(LEN('Special Help Table'!$A764)-(LEN(SUBSTITUTE('Special Help Table'!$A764,";","")))=1,LEN('Special Help Table'!$A764)-LEN(SUBSTITUTE('Special Help Table'!$A764,"and ",""))=0),MID('Special Help Table'!$A764,SEARCH(",",'Special Help Table'!$A764)+1,(SEARCH(";",'Special Help Table'!$A764)-1)-SEARCH(",",'Special Help Table'!$A764))&amp;" "&amp;LEFT('Special Help Table'!$A764,SEARCH(",",'Special Help Table'!$A764)-1)&amp;";"&amp;RIGHT('Special Help Table'!$A764,LEN('Special Help Table'!$A764)-SEARCH(",",'Special Help Table'!$A764,SEARCH(";",'Special Help Table'!$A764)))&amp;" "&amp;MID('Special Help Table'!$A764,SEARCH("; ",'Special Help Table'!$A764)+2,SEARCH(",",'Special Help Table'!$A764,SEARCH(";",'Special Help Table'!$A764))-SEARCH(";",'Special Help Table'!$A764)-2),AND(LEN('Special Help Table'!$A764)-LEN(SUBSTITUTE('Special Help Table'!$A764,"and ",""))=0,LEN('Special Help Table'!$A764)-LEN(SUBSTITUTE('Special Help Table'!$A764,";",""))=0),'Special Help Table'!$A764,AND(LEN('Special Help Table'!$A764)-LEN(SUBSTITUTE('Special Help Table'!$A764,",","")=1),LEN('Special Help Table'!$A764)-LEN(SUBSTITUTE('Special Help Table'!$A764," ","")=20),LEN('Special Help Table'!$A764)-LEN(SUBSTITUTE('Special Help Table'!$A764," and",""))=0,LEN('Special Help Table'!$A764)-LEN(SUBSTITUTE('Special Help Table'!$A764,",","",FIND(" ",'Special Help Table'!$A764)+1))=0),RIGHT('Special Help Table'!$A764,LEN('Special Help Table'!$A764)-FIND(", ",'Special Help Table'!$A764))&amp;" "&amp;LEFT('Special Help Table'!$A764,FIND(",",'Special Help Table'!$A764)-1),AND(LEN('Special Help Table'!$A764)-LEN(SUBSTITUTE('Special Help Table'!$A764,"editor",""))=6,LEN('Special Help Table'!$A764)-LEN(SUBSTITUTE('Special Help Table'!$A764,"(",""))=0,LEN('Special Help Table'!$A764)-LEN(SUBSTITUTE('Special Help Table'!$A764,"and",""))=3,LEN('Special Help Table'!$A764)-LEN(SUBSTITUTE('Special Help Table'!$A764,",",""))=1,LEN('Special Help Table'!$A764)-LEN(SUBSTITUTE('Special Help Table'!$A764," ",""))=3),'Special Help Table'!$A764)</f>
        <v xml:space="preserve"> Edward T Welch</v>
      </c>
      <c r="C764" s="4" t="s">
        <v>1406</v>
      </c>
      <c r="D764" s="2"/>
      <c r="E764" s="2" t="s">
        <v>16</v>
      </c>
      <c r="F764" s="2" t="s">
        <v>17</v>
      </c>
      <c r="G764" s="2"/>
      <c r="H764" s="2"/>
      <c r="I764" s="2"/>
      <c r="J764" s="2" t="s">
        <v>1407</v>
      </c>
      <c r="K764" s="3">
        <v>40043</v>
      </c>
      <c r="L764" s="2"/>
      <c r="M764" s="2"/>
      <c r="N764" s="2" t="s">
        <v>18</v>
      </c>
    </row>
    <row r="765" spans="1:14" ht="15.75" customHeight="1" x14ac:dyDescent="0.35">
      <c r="A765" s="2" t="s">
        <v>1398</v>
      </c>
      <c r="B765" s="2" t="str" cm="1">
        <f t="array" ref="B765">_xlfn.IFS(AND(LEN('Special Help Table'!$A765)-(LEN(SUBSTITUTE('Special Help Table'!$A765,";","")))=0,LEN('Special Help Table'!$A765)-LEN(SUBSTITUTE('Special Help Table'!$A765,",",""))=1,LEN('Special Help Table'!$A765)-LEN(SUBSTITUTE('Special Help Table'!$A765,"and ",""))=0),MID('Special Help Table'!$A765&amp;" "&amp;'Special Help Table'!$A765,SEARCH(", ",'Special Help Table'!$A765)+1,LEN('Special Help Table'!$A765)),AND(LEN('Special Help Table'!$A765)-(LEN(SUBSTITUTE('Special Help Table'!$A765,";","")))=1,LEN('Special Help Table'!$A765)-LEN(SUBSTITUTE('Special Help Table'!$A765,"and ",""))=0),MID('Special Help Table'!$A765,SEARCH(",",'Special Help Table'!$A765)+1,(SEARCH(";",'Special Help Table'!$A765)-1)-SEARCH(",",'Special Help Table'!$A765))&amp;" "&amp;LEFT('Special Help Table'!$A765,SEARCH(",",'Special Help Table'!$A765)-1)&amp;";"&amp;RIGHT('Special Help Table'!$A765,LEN('Special Help Table'!$A765)-SEARCH(",",'Special Help Table'!$A765,SEARCH(";",'Special Help Table'!$A765)))&amp;" "&amp;MID('Special Help Table'!$A765,SEARCH("; ",'Special Help Table'!$A765)+2,SEARCH(",",'Special Help Table'!$A765,SEARCH(";",'Special Help Table'!$A765))-SEARCH(";",'Special Help Table'!$A765)-2),AND(LEN('Special Help Table'!$A765)-LEN(SUBSTITUTE('Special Help Table'!$A765,"and ",""))=0,LEN('Special Help Table'!$A765)-LEN(SUBSTITUTE('Special Help Table'!$A765,";",""))=0),'Special Help Table'!$A765,AND(LEN('Special Help Table'!$A765)-LEN(SUBSTITUTE('Special Help Table'!$A765,",","")=1),LEN('Special Help Table'!$A765)-LEN(SUBSTITUTE('Special Help Table'!$A765," ","")=20),LEN('Special Help Table'!$A765)-LEN(SUBSTITUTE('Special Help Table'!$A765," and",""))=0,LEN('Special Help Table'!$A765)-LEN(SUBSTITUTE('Special Help Table'!$A765,",","",FIND(" ",'Special Help Table'!$A765)+1))=0),RIGHT('Special Help Table'!$A765,LEN('Special Help Table'!$A765)-FIND(", ",'Special Help Table'!$A765))&amp;" "&amp;LEFT('Special Help Table'!$A765,FIND(",",'Special Help Table'!$A765)-1),AND(LEN('Special Help Table'!$A765)-LEN(SUBSTITUTE('Special Help Table'!$A765,"editor",""))=6,LEN('Special Help Table'!$A765)-LEN(SUBSTITUTE('Special Help Table'!$A765,"(",""))=0,LEN('Special Help Table'!$A765)-LEN(SUBSTITUTE('Special Help Table'!$A765,"and",""))=3,LEN('Special Help Table'!$A765)-LEN(SUBSTITUTE('Special Help Table'!$A765,",",""))=1,LEN('Special Help Table'!$A765)-LEN(SUBSTITUTE('Special Help Table'!$A765," ",""))=3),'Special Help Table'!$A765)</f>
        <v xml:space="preserve"> Edward T Welch</v>
      </c>
      <c r="C765" s="4" t="s">
        <v>1408</v>
      </c>
      <c r="D765" s="2"/>
      <c r="E765" s="2" t="s">
        <v>16</v>
      </c>
      <c r="F765" s="2" t="s">
        <v>17</v>
      </c>
      <c r="G765" s="2"/>
      <c r="H765" s="2"/>
      <c r="I765" s="2"/>
      <c r="J765" s="2" t="s">
        <v>1409</v>
      </c>
      <c r="K765" s="3">
        <v>41621</v>
      </c>
      <c r="L765" s="2"/>
      <c r="M765" s="2"/>
      <c r="N765" s="2" t="s">
        <v>18</v>
      </c>
    </row>
    <row r="766" spans="1:14" ht="15.75" customHeight="1" x14ac:dyDescent="0.35">
      <c r="A766" s="2" t="s">
        <v>1398</v>
      </c>
      <c r="B766" s="2" t="str" cm="1">
        <f t="array" ref="B766">_xlfn.IFS(AND(LEN('Special Help Table'!$A766)-(LEN(SUBSTITUTE('Special Help Table'!$A766,";","")))=0,LEN('Special Help Table'!$A766)-LEN(SUBSTITUTE('Special Help Table'!$A766,",",""))=1,LEN('Special Help Table'!$A766)-LEN(SUBSTITUTE('Special Help Table'!$A766,"and ",""))=0),MID('Special Help Table'!$A766&amp;" "&amp;'Special Help Table'!$A766,SEARCH(", ",'Special Help Table'!$A766)+1,LEN('Special Help Table'!$A766)),AND(LEN('Special Help Table'!$A766)-(LEN(SUBSTITUTE('Special Help Table'!$A766,";","")))=1,LEN('Special Help Table'!$A766)-LEN(SUBSTITUTE('Special Help Table'!$A766,"and ",""))=0),MID('Special Help Table'!$A766,SEARCH(",",'Special Help Table'!$A766)+1,(SEARCH(";",'Special Help Table'!$A766)-1)-SEARCH(",",'Special Help Table'!$A766))&amp;" "&amp;LEFT('Special Help Table'!$A766,SEARCH(",",'Special Help Table'!$A766)-1)&amp;";"&amp;RIGHT('Special Help Table'!$A766,LEN('Special Help Table'!$A766)-SEARCH(",",'Special Help Table'!$A766,SEARCH(";",'Special Help Table'!$A766)))&amp;" "&amp;MID('Special Help Table'!$A766,SEARCH("; ",'Special Help Table'!$A766)+2,SEARCH(",",'Special Help Table'!$A766,SEARCH(";",'Special Help Table'!$A766))-SEARCH(";",'Special Help Table'!$A766)-2),AND(LEN('Special Help Table'!$A766)-LEN(SUBSTITUTE('Special Help Table'!$A766,"and ",""))=0,LEN('Special Help Table'!$A766)-LEN(SUBSTITUTE('Special Help Table'!$A766,";",""))=0),'Special Help Table'!$A766,AND(LEN('Special Help Table'!$A766)-LEN(SUBSTITUTE('Special Help Table'!$A766,",","")=1),LEN('Special Help Table'!$A766)-LEN(SUBSTITUTE('Special Help Table'!$A766," ","")=20),LEN('Special Help Table'!$A766)-LEN(SUBSTITUTE('Special Help Table'!$A766," and",""))=0,LEN('Special Help Table'!$A766)-LEN(SUBSTITUTE('Special Help Table'!$A766,",","",FIND(" ",'Special Help Table'!$A766)+1))=0),RIGHT('Special Help Table'!$A766,LEN('Special Help Table'!$A766)-FIND(", ",'Special Help Table'!$A766))&amp;" "&amp;LEFT('Special Help Table'!$A766,FIND(",",'Special Help Table'!$A766)-1),AND(LEN('Special Help Table'!$A766)-LEN(SUBSTITUTE('Special Help Table'!$A766,"editor",""))=6,LEN('Special Help Table'!$A766)-LEN(SUBSTITUTE('Special Help Table'!$A766,"(",""))=0,LEN('Special Help Table'!$A766)-LEN(SUBSTITUTE('Special Help Table'!$A766,"and",""))=3,LEN('Special Help Table'!$A766)-LEN(SUBSTITUTE('Special Help Table'!$A766,",",""))=1,LEN('Special Help Table'!$A766)-LEN(SUBSTITUTE('Special Help Table'!$A766," ",""))=3),'Special Help Table'!$A766)</f>
        <v xml:space="preserve"> Edward T Welch</v>
      </c>
      <c r="C766" s="4" t="s">
        <v>1410</v>
      </c>
      <c r="D766" s="2"/>
      <c r="E766" s="2" t="s">
        <v>16</v>
      </c>
      <c r="F766" s="2" t="s">
        <v>17</v>
      </c>
      <c r="G766" s="2"/>
      <c r="H766" s="2"/>
      <c r="I766" s="2"/>
      <c r="J766" s="2" t="s">
        <v>755</v>
      </c>
      <c r="K766" s="3">
        <v>42200</v>
      </c>
      <c r="L766" s="2"/>
      <c r="M766" s="2"/>
      <c r="N766" s="2" t="s">
        <v>18</v>
      </c>
    </row>
    <row r="767" spans="1:14" ht="15.75" customHeight="1" x14ac:dyDescent="0.35">
      <c r="A767" s="2" t="s">
        <v>1398</v>
      </c>
      <c r="B767" s="2" t="str" cm="1">
        <f t="array" ref="B767">_xlfn.IFS(AND(LEN('Special Help Table'!$A767)-(LEN(SUBSTITUTE('Special Help Table'!$A767,";","")))=0,LEN('Special Help Table'!$A767)-LEN(SUBSTITUTE('Special Help Table'!$A767,",",""))=1,LEN('Special Help Table'!$A767)-LEN(SUBSTITUTE('Special Help Table'!$A767,"and ",""))=0),MID('Special Help Table'!$A767&amp;" "&amp;'Special Help Table'!$A767,SEARCH(", ",'Special Help Table'!$A767)+1,LEN('Special Help Table'!$A767)),AND(LEN('Special Help Table'!$A767)-(LEN(SUBSTITUTE('Special Help Table'!$A767,";","")))=1,LEN('Special Help Table'!$A767)-LEN(SUBSTITUTE('Special Help Table'!$A767,"and ",""))=0),MID('Special Help Table'!$A767,SEARCH(",",'Special Help Table'!$A767)+1,(SEARCH(";",'Special Help Table'!$A767)-1)-SEARCH(",",'Special Help Table'!$A767))&amp;" "&amp;LEFT('Special Help Table'!$A767,SEARCH(",",'Special Help Table'!$A767)-1)&amp;";"&amp;RIGHT('Special Help Table'!$A767,LEN('Special Help Table'!$A767)-SEARCH(",",'Special Help Table'!$A767,SEARCH(";",'Special Help Table'!$A767)))&amp;" "&amp;MID('Special Help Table'!$A767,SEARCH("; ",'Special Help Table'!$A767)+2,SEARCH(",",'Special Help Table'!$A767,SEARCH(";",'Special Help Table'!$A767))-SEARCH(";",'Special Help Table'!$A767)-2),AND(LEN('Special Help Table'!$A767)-LEN(SUBSTITUTE('Special Help Table'!$A767,"and ",""))=0,LEN('Special Help Table'!$A767)-LEN(SUBSTITUTE('Special Help Table'!$A767,";",""))=0),'Special Help Table'!$A767,AND(LEN('Special Help Table'!$A767)-LEN(SUBSTITUTE('Special Help Table'!$A767,",","")=1),LEN('Special Help Table'!$A767)-LEN(SUBSTITUTE('Special Help Table'!$A767," ","")=20),LEN('Special Help Table'!$A767)-LEN(SUBSTITUTE('Special Help Table'!$A767," and",""))=0,LEN('Special Help Table'!$A767)-LEN(SUBSTITUTE('Special Help Table'!$A767,",","",FIND(" ",'Special Help Table'!$A767)+1))=0),RIGHT('Special Help Table'!$A767,LEN('Special Help Table'!$A767)-FIND(", ",'Special Help Table'!$A767))&amp;" "&amp;LEFT('Special Help Table'!$A767,FIND(",",'Special Help Table'!$A767)-1),AND(LEN('Special Help Table'!$A767)-LEN(SUBSTITUTE('Special Help Table'!$A767,"editor",""))=6,LEN('Special Help Table'!$A767)-LEN(SUBSTITUTE('Special Help Table'!$A767,"(",""))=0,LEN('Special Help Table'!$A767)-LEN(SUBSTITUTE('Special Help Table'!$A767,"and",""))=3,LEN('Special Help Table'!$A767)-LEN(SUBSTITUTE('Special Help Table'!$A767,",",""))=1,LEN('Special Help Table'!$A767)-LEN(SUBSTITUTE('Special Help Table'!$A767," ",""))=3),'Special Help Table'!$A767)</f>
        <v xml:space="preserve"> Edward T Welch</v>
      </c>
      <c r="C767" s="4" t="s">
        <v>1411</v>
      </c>
      <c r="D767" s="2"/>
      <c r="E767" s="2" t="s">
        <v>471</v>
      </c>
      <c r="F767" s="2" t="s">
        <v>17</v>
      </c>
      <c r="G767" s="2"/>
      <c r="H767" s="2"/>
      <c r="I767" s="2"/>
      <c r="J767" s="2" t="s">
        <v>56</v>
      </c>
      <c r="K767" s="3">
        <v>43046</v>
      </c>
      <c r="L767" s="2"/>
      <c r="M767" s="2"/>
      <c r="N767" s="2" t="s">
        <v>18</v>
      </c>
    </row>
    <row r="768" spans="1:14" ht="15.75" customHeight="1" x14ac:dyDescent="0.35">
      <c r="A768" s="2" t="s">
        <v>1398</v>
      </c>
      <c r="B768" s="2" t="str" cm="1">
        <f t="array" ref="B768">_xlfn.IFS(AND(LEN('Special Help Table'!$A768)-(LEN(SUBSTITUTE('Special Help Table'!$A768,";","")))=0,LEN('Special Help Table'!$A768)-LEN(SUBSTITUTE('Special Help Table'!$A768,",",""))=1,LEN('Special Help Table'!$A768)-LEN(SUBSTITUTE('Special Help Table'!$A768,"and ",""))=0),MID('Special Help Table'!$A768&amp;" "&amp;'Special Help Table'!$A768,SEARCH(", ",'Special Help Table'!$A768)+1,LEN('Special Help Table'!$A768)),AND(LEN('Special Help Table'!$A768)-(LEN(SUBSTITUTE('Special Help Table'!$A768,";","")))=1,LEN('Special Help Table'!$A768)-LEN(SUBSTITUTE('Special Help Table'!$A768,"and ",""))=0),MID('Special Help Table'!$A768,SEARCH(",",'Special Help Table'!$A768)+1,(SEARCH(";",'Special Help Table'!$A768)-1)-SEARCH(",",'Special Help Table'!$A768))&amp;" "&amp;LEFT('Special Help Table'!$A768,SEARCH(",",'Special Help Table'!$A768)-1)&amp;";"&amp;RIGHT('Special Help Table'!$A768,LEN('Special Help Table'!$A768)-SEARCH(",",'Special Help Table'!$A768,SEARCH(";",'Special Help Table'!$A768)))&amp;" "&amp;MID('Special Help Table'!$A768,SEARCH("; ",'Special Help Table'!$A768)+2,SEARCH(",",'Special Help Table'!$A768,SEARCH(";",'Special Help Table'!$A768))-SEARCH(";",'Special Help Table'!$A768)-2),AND(LEN('Special Help Table'!$A768)-LEN(SUBSTITUTE('Special Help Table'!$A768,"and ",""))=0,LEN('Special Help Table'!$A768)-LEN(SUBSTITUTE('Special Help Table'!$A768,";",""))=0),'Special Help Table'!$A768,AND(LEN('Special Help Table'!$A768)-LEN(SUBSTITUTE('Special Help Table'!$A768,",","")=1),LEN('Special Help Table'!$A768)-LEN(SUBSTITUTE('Special Help Table'!$A768," ","")=20),LEN('Special Help Table'!$A768)-LEN(SUBSTITUTE('Special Help Table'!$A768," and",""))=0,LEN('Special Help Table'!$A768)-LEN(SUBSTITUTE('Special Help Table'!$A768,",","",FIND(" ",'Special Help Table'!$A768)+1))=0),RIGHT('Special Help Table'!$A768,LEN('Special Help Table'!$A768)-FIND(", ",'Special Help Table'!$A768))&amp;" "&amp;LEFT('Special Help Table'!$A768,FIND(",",'Special Help Table'!$A768)-1),AND(LEN('Special Help Table'!$A768)-LEN(SUBSTITUTE('Special Help Table'!$A768,"editor",""))=6,LEN('Special Help Table'!$A768)-LEN(SUBSTITUTE('Special Help Table'!$A768,"(",""))=0,LEN('Special Help Table'!$A768)-LEN(SUBSTITUTE('Special Help Table'!$A768,"and",""))=3,LEN('Special Help Table'!$A768)-LEN(SUBSTITUTE('Special Help Table'!$A768,",",""))=1,LEN('Special Help Table'!$A768)-LEN(SUBSTITUTE('Special Help Table'!$A768," ",""))=3),'Special Help Table'!$A768)</f>
        <v xml:space="preserve"> Edward T Welch</v>
      </c>
      <c r="C768" s="4" t="s">
        <v>1412</v>
      </c>
      <c r="D768" s="2"/>
      <c r="E768" s="2" t="s">
        <v>16</v>
      </c>
      <c r="F768" s="2" t="s">
        <v>17</v>
      </c>
      <c r="G768" s="2"/>
      <c r="H768" s="2"/>
      <c r="I768" s="2"/>
      <c r="J768" s="2" t="s">
        <v>936</v>
      </c>
      <c r="K768" s="3">
        <v>41468</v>
      </c>
      <c r="L768" s="2"/>
      <c r="M768" s="2"/>
      <c r="N768" s="2" t="s">
        <v>18</v>
      </c>
    </row>
    <row r="769" spans="1:14" ht="15.75" customHeight="1" x14ac:dyDescent="0.35">
      <c r="A769" s="2" t="s">
        <v>1398</v>
      </c>
      <c r="B769" s="2" t="str" cm="1">
        <f t="array" ref="B769">_xlfn.IFS(AND(LEN('Special Help Table'!$A769)-(LEN(SUBSTITUTE('Special Help Table'!$A769,";","")))=0,LEN('Special Help Table'!$A769)-LEN(SUBSTITUTE('Special Help Table'!$A769,",",""))=1,LEN('Special Help Table'!$A769)-LEN(SUBSTITUTE('Special Help Table'!$A769,"and ",""))=0),MID('Special Help Table'!$A769&amp;" "&amp;'Special Help Table'!$A769,SEARCH(", ",'Special Help Table'!$A769)+1,LEN('Special Help Table'!$A769)),AND(LEN('Special Help Table'!$A769)-(LEN(SUBSTITUTE('Special Help Table'!$A769,";","")))=1,LEN('Special Help Table'!$A769)-LEN(SUBSTITUTE('Special Help Table'!$A769,"and ",""))=0),MID('Special Help Table'!$A769,SEARCH(",",'Special Help Table'!$A769)+1,(SEARCH(";",'Special Help Table'!$A769)-1)-SEARCH(",",'Special Help Table'!$A769))&amp;" "&amp;LEFT('Special Help Table'!$A769,SEARCH(",",'Special Help Table'!$A769)-1)&amp;";"&amp;RIGHT('Special Help Table'!$A769,LEN('Special Help Table'!$A769)-SEARCH(",",'Special Help Table'!$A769,SEARCH(";",'Special Help Table'!$A769)))&amp;" "&amp;MID('Special Help Table'!$A769,SEARCH("; ",'Special Help Table'!$A769)+2,SEARCH(",",'Special Help Table'!$A769,SEARCH(";",'Special Help Table'!$A769))-SEARCH(";",'Special Help Table'!$A769)-2),AND(LEN('Special Help Table'!$A769)-LEN(SUBSTITUTE('Special Help Table'!$A769,"and ",""))=0,LEN('Special Help Table'!$A769)-LEN(SUBSTITUTE('Special Help Table'!$A769,";",""))=0),'Special Help Table'!$A769,AND(LEN('Special Help Table'!$A769)-LEN(SUBSTITUTE('Special Help Table'!$A769,",","")=1),LEN('Special Help Table'!$A769)-LEN(SUBSTITUTE('Special Help Table'!$A769," ","")=20),LEN('Special Help Table'!$A769)-LEN(SUBSTITUTE('Special Help Table'!$A769," and",""))=0,LEN('Special Help Table'!$A769)-LEN(SUBSTITUTE('Special Help Table'!$A769,",","",FIND(" ",'Special Help Table'!$A769)+1))=0),RIGHT('Special Help Table'!$A769,LEN('Special Help Table'!$A769)-FIND(", ",'Special Help Table'!$A769))&amp;" "&amp;LEFT('Special Help Table'!$A769,FIND(",",'Special Help Table'!$A769)-1),AND(LEN('Special Help Table'!$A769)-LEN(SUBSTITUTE('Special Help Table'!$A769,"editor",""))=6,LEN('Special Help Table'!$A769)-LEN(SUBSTITUTE('Special Help Table'!$A769,"(",""))=0,LEN('Special Help Table'!$A769)-LEN(SUBSTITUTE('Special Help Table'!$A769,"and",""))=3,LEN('Special Help Table'!$A769)-LEN(SUBSTITUTE('Special Help Table'!$A769,",",""))=1,LEN('Special Help Table'!$A769)-LEN(SUBSTITUTE('Special Help Table'!$A769," ",""))=3),'Special Help Table'!$A769)</f>
        <v xml:space="preserve"> Edward T Welch</v>
      </c>
      <c r="C769" s="4" t="s">
        <v>1413</v>
      </c>
      <c r="D769" s="2"/>
      <c r="E769" s="2" t="s">
        <v>16</v>
      </c>
      <c r="F769" s="2" t="s">
        <v>17</v>
      </c>
      <c r="G769" s="2"/>
      <c r="H769" s="2"/>
      <c r="I769" s="2"/>
      <c r="J769" s="2" t="s">
        <v>936</v>
      </c>
      <c r="K769" s="3">
        <v>40044</v>
      </c>
      <c r="L769" s="2"/>
      <c r="M769" s="2"/>
      <c r="N769" s="2" t="s">
        <v>18</v>
      </c>
    </row>
    <row r="770" spans="1:14" ht="15.75" customHeight="1" x14ac:dyDescent="0.35">
      <c r="A770" s="2" t="s">
        <v>1414</v>
      </c>
      <c r="B770" s="2" t="str" cm="1">
        <f t="array" ref="B770">_xlfn.IFS(AND(LEN('Special Help Table'!$A770)-(LEN(SUBSTITUTE('Special Help Table'!$A770,";","")))=0,LEN('Special Help Table'!$A770)-LEN(SUBSTITUTE('Special Help Table'!$A770,",",""))=1,LEN('Special Help Table'!$A770)-LEN(SUBSTITUTE('Special Help Table'!$A770,"and ",""))=0),MID('Special Help Table'!$A770&amp;" "&amp;'Special Help Table'!$A770,SEARCH(", ",'Special Help Table'!$A770)+1,LEN('Special Help Table'!$A770)),AND(LEN('Special Help Table'!$A770)-(LEN(SUBSTITUTE('Special Help Table'!$A770,";","")))=1,LEN('Special Help Table'!$A770)-LEN(SUBSTITUTE('Special Help Table'!$A770,"and ",""))=0),MID('Special Help Table'!$A770,SEARCH(",",'Special Help Table'!$A770)+1,(SEARCH(";",'Special Help Table'!$A770)-1)-SEARCH(",",'Special Help Table'!$A770))&amp;" "&amp;LEFT('Special Help Table'!$A770,SEARCH(",",'Special Help Table'!$A770)-1)&amp;";"&amp;RIGHT('Special Help Table'!$A770,LEN('Special Help Table'!$A770)-SEARCH(",",'Special Help Table'!$A770,SEARCH(";",'Special Help Table'!$A770)))&amp;" "&amp;MID('Special Help Table'!$A770,SEARCH("; ",'Special Help Table'!$A770)+2,SEARCH(",",'Special Help Table'!$A770,SEARCH(";",'Special Help Table'!$A770))-SEARCH(";",'Special Help Table'!$A770)-2),AND(LEN('Special Help Table'!$A770)-LEN(SUBSTITUTE('Special Help Table'!$A770,"and ",""))=0,LEN('Special Help Table'!$A770)-LEN(SUBSTITUTE('Special Help Table'!$A770,";",""))=0),'Special Help Table'!$A770,AND(LEN('Special Help Table'!$A770)-LEN(SUBSTITUTE('Special Help Table'!$A770,",","")=1),LEN('Special Help Table'!$A770)-LEN(SUBSTITUTE('Special Help Table'!$A770," ","")=20),LEN('Special Help Table'!$A770)-LEN(SUBSTITUTE('Special Help Table'!$A770," and",""))=0,LEN('Special Help Table'!$A770)-LEN(SUBSTITUTE('Special Help Table'!$A770,",","",FIND(" ",'Special Help Table'!$A770)+1))=0),RIGHT('Special Help Table'!$A770,LEN('Special Help Table'!$A770)-FIND(", ",'Special Help Table'!$A770))&amp;" "&amp;LEFT('Special Help Table'!$A770,FIND(",",'Special Help Table'!$A770)-1),AND(LEN('Special Help Table'!$A770)-LEN(SUBSTITUTE('Special Help Table'!$A770,"editor",""))=6,LEN('Special Help Table'!$A770)-LEN(SUBSTITUTE('Special Help Table'!$A770,"(",""))=0,LEN('Special Help Table'!$A770)-LEN(SUBSTITUTE('Special Help Table'!$A770,"and",""))=3,LEN('Special Help Table'!$A770)-LEN(SUBSTITUTE('Special Help Table'!$A770,",",""))=1,LEN('Special Help Table'!$A770)-LEN(SUBSTITUTE('Special Help Table'!$A770," ",""))=3),'Special Help Table'!$A770)</f>
        <v xml:space="preserve"> Edward T. Welch</v>
      </c>
      <c r="C770" s="4" t="s">
        <v>1415</v>
      </c>
      <c r="D770" s="2"/>
      <c r="E770" s="2" t="s">
        <v>16</v>
      </c>
      <c r="F770" s="2" t="s">
        <v>72</v>
      </c>
      <c r="G770" s="2"/>
      <c r="H770" s="2"/>
      <c r="I770" s="2"/>
      <c r="J770" s="2"/>
      <c r="K770" s="3"/>
      <c r="L770" s="2"/>
      <c r="M770" s="2"/>
      <c r="N770" s="2" t="s">
        <v>18</v>
      </c>
    </row>
    <row r="771" spans="1:14" ht="15.75" customHeight="1" x14ac:dyDescent="0.35">
      <c r="A771" s="2" t="s">
        <v>1414</v>
      </c>
      <c r="B771" s="2" t="str" cm="1">
        <f t="array" ref="B771">_xlfn.IFS(AND(LEN('Special Help Table'!$A771)-(LEN(SUBSTITUTE('Special Help Table'!$A771,";","")))=0,LEN('Special Help Table'!$A771)-LEN(SUBSTITUTE('Special Help Table'!$A771,",",""))=1,LEN('Special Help Table'!$A771)-LEN(SUBSTITUTE('Special Help Table'!$A771,"and ",""))=0),MID('Special Help Table'!$A771&amp;" "&amp;'Special Help Table'!$A771,SEARCH(", ",'Special Help Table'!$A771)+1,LEN('Special Help Table'!$A771)),AND(LEN('Special Help Table'!$A771)-(LEN(SUBSTITUTE('Special Help Table'!$A771,";","")))=1,LEN('Special Help Table'!$A771)-LEN(SUBSTITUTE('Special Help Table'!$A771,"and ",""))=0),MID('Special Help Table'!$A771,SEARCH(",",'Special Help Table'!$A771)+1,(SEARCH(";",'Special Help Table'!$A771)-1)-SEARCH(",",'Special Help Table'!$A771))&amp;" "&amp;LEFT('Special Help Table'!$A771,SEARCH(",",'Special Help Table'!$A771)-1)&amp;";"&amp;RIGHT('Special Help Table'!$A771,LEN('Special Help Table'!$A771)-SEARCH(",",'Special Help Table'!$A771,SEARCH(";",'Special Help Table'!$A771)))&amp;" "&amp;MID('Special Help Table'!$A771,SEARCH("; ",'Special Help Table'!$A771)+2,SEARCH(",",'Special Help Table'!$A771,SEARCH(";",'Special Help Table'!$A771))-SEARCH(";",'Special Help Table'!$A771)-2),AND(LEN('Special Help Table'!$A771)-LEN(SUBSTITUTE('Special Help Table'!$A771,"and ",""))=0,LEN('Special Help Table'!$A771)-LEN(SUBSTITUTE('Special Help Table'!$A771,";",""))=0),'Special Help Table'!$A771,AND(LEN('Special Help Table'!$A771)-LEN(SUBSTITUTE('Special Help Table'!$A771,",","")=1),LEN('Special Help Table'!$A771)-LEN(SUBSTITUTE('Special Help Table'!$A771," ","")=20),LEN('Special Help Table'!$A771)-LEN(SUBSTITUTE('Special Help Table'!$A771," and",""))=0,LEN('Special Help Table'!$A771)-LEN(SUBSTITUTE('Special Help Table'!$A771,",","",FIND(" ",'Special Help Table'!$A771)+1))=0),RIGHT('Special Help Table'!$A771,LEN('Special Help Table'!$A771)-FIND(", ",'Special Help Table'!$A771))&amp;" "&amp;LEFT('Special Help Table'!$A771,FIND(",",'Special Help Table'!$A771)-1),AND(LEN('Special Help Table'!$A771)-LEN(SUBSTITUTE('Special Help Table'!$A771,"editor",""))=6,LEN('Special Help Table'!$A771)-LEN(SUBSTITUTE('Special Help Table'!$A771,"(",""))=0,LEN('Special Help Table'!$A771)-LEN(SUBSTITUTE('Special Help Table'!$A771,"and",""))=3,LEN('Special Help Table'!$A771)-LEN(SUBSTITUTE('Special Help Table'!$A771,",",""))=1,LEN('Special Help Table'!$A771)-LEN(SUBSTITUTE('Special Help Table'!$A771," ",""))=3),'Special Help Table'!$A771)</f>
        <v xml:space="preserve"> Edward T. Welch</v>
      </c>
      <c r="C771" s="4" t="s">
        <v>1416</v>
      </c>
      <c r="D771" s="2"/>
      <c r="E771" s="2" t="s">
        <v>16</v>
      </c>
      <c r="F771" s="2" t="s">
        <v>36</v>
      </c>
      <c r="G771" s="2"/>
      <c r="H771" s="2"/>
      <c r="I771" s="2"/>
      <c r="J771" s="2" t="s">
        <v>1417</v>
      </c>
      <c r="K771" s="3">
        <v>43832</v>
      </c>
      <c r="L771" s="2"/>
      <c r="M771" s="2"/>
      <c r="N771" s="2" t="s">
        <v>18</v>
      </c>
    </row>
    <row r="772" spans="1:14" ht="15.75" customHeight="1" x14ac:dyDescent="0.35">
      <c r="A772" s="2" t="s">
        <v>1418</v>
      </c>
      <c r="B772" s="2" t="str" cm="1">
        <f t="array" ref="B772">_xlfn.IFS(AND(LEN('Special Help Table'!$A772)-(LEN(SUBSTITUTE('Special Help Table'!$A772,";","")))=0,LEN('Special Help Table'!$A772)-LEN(SUBSTITUTE('Special Help Table'!$A772,",",""))=1,LEN('Special Help Table'!$A772)-LEN(SUBSTITUTE('Special Help Table'!$A772,"and ",""))=0),MID('Special Help Table'!$A772&amp;" "&amp;'Special Help Table'!$A772,SEARCH(", ",'Special Help Table'!$A772)+1,LEN('Special Help Table'!$A772)),AND(LEN('Special Help Table'!$A772)-(LEN(SUBSTITUTE('Special Help Table'!$A772,";","")))=1,LEN('Special Help Table'!$A772)-LEN(SUBSTITUTE('Special Help Table'!$A772,"and ",""))=0),MID('Special Help Table'!$A772,SEARCH(",",'Special Help Table'!$A772)+1,(SEARCH(";",'Special Help Table'!$A772)-1)-SEARCH(",",'Special Help Table'!$A772))&amp;" "&amp;LEFT('Special Help Table'!$A772,SEARCH(",",'Special Help Table'!$A772)-1)&amp;";"&amp;RIGHT('Special Help Table'!$A772,LEN('Special Help Table'!$A772)-SEARCH(",",'Special Help Table'!$A772,SEARCH(";",'Special Help Table'!$A772)))&amp;" "&amp;MID('Special Help Table'!$A772,SEARCH("; ",'Special Help Table'!$A772)+2,SEARCH(",",'Special Help Table'!$A772,SEARCH(";",'Special Help Table'!$A772))-SEARCH(";",'Special Help Table'!$A772)-2),AND(LEN('Special Help Table'!$A772)-LEN(SUBSTITUTE('Special Help Table'!$A772,"and ",""))=0,LEN('Special Help Table'!$A772)-LEN(SUBSTITUTE('Special Help Table'!$A772,";",""))=0),'Special Help Table'!$A772,AND(LEN('Special Help Table'!$A772)-LEN(SUBSTITUTE('Special Help Table'!$A772,",","")=1),LEN('Special Help Table'!$A772)-LEN(SUBSTITUTE('Special Help Table'!$A772," ","")=20),LEN('Special Help Table'!$A772)-LEN(SUBSTITUTE('Special Help Table'!$A772," and",""))=0,LEN('Special Help Table'!$A772)-LEN(SUBSTITUTE('Special Help Table'!$A772,",","",FIND(" ",'Special Help Table'!$A772)+1))=0),RIGHT('Special Help Table'!$A772,LEN('Special Help Table'!$A772)-FIND(", ",'Special Help Table'!$A772))&amp;" "&amp;LEFT('Special Help Table'!$A772,FIND(",",'Special Help Table'!$A772)-1),AND(LEN('Special Help Table'!$A772)-LEN(SUBSTITUTE('Special Help Table'!$A772,"editor",""))=6,LEN('Special Help Table'!$A772)-LEN(SUBSTITUTE('Special Help Table'!$A772,"(",""))=0,LEN('Special Help Table'!$A772)-LEN(SUBSTITUTE('Special Help Table'!$A772,"and",""))=3,LEN('Special Help Table'!$A772)-LEN(SUBSTITUTE('Special Help Table'!$A772,",",""))=1,LEN('Special Help Table'!$A772)-LEN(SUBSTITUTE('Special Help Table'!$A772," ",""))=3),'Special Help Table'!$A772)</f>
        <v xml:space="preserve"> Edward T. (editor) Welch</v>
      </c>
      <c r="C772" s="4" t="s">
        <v>1419</v>
      </c>
      <c r="D772" s="2" t="s">
        <v>302</v>
      </c>
      <c r="E772" s="2" t="s">
        <v>16</v>
      </c>
      <c r="F772" s="2" t="s">
        <v>72</v>
      </c>
      <c r="G772" s="2"/>
      <c r="H772" s="2"/>
      <c r="I772" s="2"/>
      <c r="J772" s="2" t="s">
        <v>1420</v>
      </c>
      <c r="K772" s="3">
        <v>43832</v>
      </c>
      <c r="L772" s="2"/>
      <c r="M772" s="2"/>
      <c r="N772" s="2" t="s">
        <v>18</v>
      </c>
    </row>
    <row r="773" spans="1:14" ht="15.75" customHeight="1" x14ac:dyDescent="0.35">
      <c r="A773" s="2" t="s">
        <v>1421</v>
      </c>
      <c r="B773" s="2" t="str" cm="1">
        <f t="array" ref="B773">_xlfn.IFS(AND(LEN('Special Help Table'!$A773)-(LEN(SUBSTITUTE('Special Help Table'!$A773,";","")))=0,LEN('Special Help Table'!$A773)-LEN(SUBSTITUTE('Special Help Table'!$A773,",",""))=1,LEN('Special Help Table'!$A773)-LEN(SUBSTITUTE('Special Help Table'!$A773,"and ",""))=0),MID('Special Help Table'!$A773&amp;" "&amp;'Special Help Table'!$A773,SEARCH(", ",'Special Help Table'!$A773)+1,LEN('Special Help Table'!$A773)),AND(LEN('Special Help Table'!$A773)-(LEN(SUBSTITUTE('Special Help Table'!$A773,";","")))=1,LEN('Special Help Table'!$A773)-LEN(SUBSTITUTE('Special Help Table'!$A773,"and ",""))=0),MID('Special Help Table'!$A773,SEARCH(",",'Special Help Table'!$A773)+1,(SEARCH(";",'Special Help Table'!$A773)-1)-SEARCH(",",'Special Help Table'!$A773))&amp;" "&amp;LEFT('Special Help Table'!$A773,SEARCH(",",'Special Help Table'!$A773)-1)&amp;";"&amp;RIGHT('Special Help Table'!$A773,LEN('Special Help Table'!$A773)-SEARCH(",",'Special Help Table'!$A773,SEARCH(";",'Special Help Table'!$A773)))&amp;" "&amp;MID('Special Help Table'!$A773,SEARCH("; ",'Special Help Table'!$A773)+2,SEARCH(",",'Special Help Table'!$A773,SEARCH(";",'Special Help Table'!$A773))-SEARCH(";",'Special Help Table'!$A773)-2),AND(LEN('Special Help Table'!$A773)-LEN(SUBSTITUTE('Special Help Table'!$A773,"and ",""))=0,LEN('Special Help Table'!$A773)-LEN(SUBSTITUTE('Special Help Table'!$A773,";",""))=0),'Special Help Table'!$A773,AND(LEN('Special Help Table'!$A773)-LEN(SUBSTITUTE('Special Help Table'!$A773,",","")=1),LEN('Special Help Table'!$A773)-LEN(SUBSTITUTE('Special Help Table'!$A773," ","")=20),LEN('Special Help Table'!$A773)-LEN(SUBSTITUTE('Special Help Table'!$A773," and",""))=0,LEN('Special Help Table'!$A773)-LEN(SUBSTITUTE('Special Help Table'!$A773,",","",FIND(" ",'Special Help Table'!$A773)+1))=0),RIGHT('Special Help Table'!$A773,LEN('Special Help Table'!$A773)-FIND(", ",'Special Help Table'!$A773))&amp;" "&amp;LEFT('Special Help Table'!$A773,FIND(",",'Special Help Table'!$A773)-1),AND(LEN('Special Help Table'!$A773)-LEN(SUBSTITUTE('Special Help Table'!$A773,"editor",""))=6,LEN('Special Help Table'!$A773)-LEN(SUBSTITUTE('Special Help Table'!$A773,"(",""))=0,LEN('Special Help Table'!$A773)-LEN(SUBSTITUTE('Special Help Table'!$A773,"and",""))=3,LEN('Special Help Table'!$A773)-LEN(SUBSTITUTE('Special Help Table'!$A773,",",""))=1,LEN('Special Help Table'!$A773)-LEN(SUBSTITUTE('Special Help Table'!$A773," ",""))=3),'Special Help Table'!$A773)</f>
        <v xml:space="preserve"> David R. Wells</v>
      </c>
      <c r="C773" s="4" t="s">
        <v>1422</v>
      </c>
      <c r="D773" s="2"/>
      <c r="E773" s="2" t="s">
        <v>16</v>
      </c>
      <c r="F773" s="2" t="s">
        <v>20</v>
      </c>
      <c r="G773" s="2"/>
      <c r="H773" s="2"/>
      <c r="I773" s="2"/>
      <c r="J773" s="2" t="s">
        <v>260</v>
      </c>
      <c r="K773" s="3">
        <v>40045</v>
      </c>
      <c r="L773" s="2"/>
      <c r="M773" s="2"/>
      <c r="N773" s="2" t="s">
        <v>18</v>
      </c>
    </row>
    <row r="774" spans="1:14" ht="15.75" customHeight="1" x14ac:dyDescent="0.35">
      <c r="A774" s="2" t="s">
        <v>1421</v>
      </c>
      <c r="B774" s="2" t="str" cm="1">
        <f t="array" ref="B774">_xlfn.IFS(AND(LEN('Special Help Table'!$A774)-(LEN(SUBSTITUTE('Special Help Table'!$A774,";","")))=0,LEN('Special Help Table'!$A774)-LEN(SUBSTITUTE('Special Help Table'!$A774,",",""))=1,LEN('Special Help Table'!$A774)-LEN(SUBSTITUTE('Special Help Table'!$A774,"and ",""))=0),MID('Special Help Table'!$A774&amp;" "&amp;'Special Help Table'!$A774,SEARCH(", ",'Special Help Table'!$A774)+1,LEN('Special Help Table'!$A774)),AND(LEN('Special Help Table'!$A774)-(LEN(SUBSTITUTE('Special Help Table'!$A774,";","")))=1,LEN('Special Help Table'!$A774)-LEN(SUBSTITUTE('Special Help Table'!$A774,"and ",""))=0),MID('Special Help Table'!$A774,SEARCH(",",'Special Help Table'!$A774)+1,(SEARCH(";",'Special Help Table'!$A774)-1)-SEARCH(",",'Special Help Table'!$A774))&amp;" "&amp;LEFT('Special Help Table'!$A774,SEARCH(",",'Special Help Table'!$A774)-1)&amp;";"&amp;RIGHT('Special Help Table'!$A774,LEN('Special Help Table'!$A774)-SEARCH(",",'Special Help Table'!$A774,SEARCH(";",'Special Help Table'!$A774)))&amp;" "&amp;MID('Special Help Table'!$A774,SEARCH("; ",'Special Help Table'!$A774)+2,SEARCH(",",'Special Help Table'!$A774,SEARCH(";",'Special Help Table'!$A774))-SEARCH(";",'Special Help Table'!$A774)-2),AND(LEN('Special Help Table'!$A774)-LEN(SUBSTITUTE('Special Help Table'!$A774,"and ",""))=0,LEN('Special Help Table'!$A774)-LEN(SUBSTITUTE('Special Help Table'!$A774,";",""))=0),'Special Help Table'!$A774,AND(LEN('Special Help Table'!$A774)-LEN(SUBSTITUTE('Special Help Table'!$A774,",","")=1),LEN('Special Help Table'!$A774)-LEN(SUBSTITUTE('Special Help Table'!$A774," ","")=20),LEN('Special Help Table'!$A774)-LEN(SUBSTITUTE('Special Help Table'!$A774," and",""))=0,LEN('Special Help Table'!$A774)-LEN(SUBSTITUTE('Special Help Table'!$A774,",","",FIND(" ",'Special Help Table'!$A774)+1))=0),RIGHT('Special Help Table'!$A774,LEN('Special Help Table'!$A774)-FIND(", ",'Special Help Table'!$A774))&amp;" "&amp;LEFT('Special Help Table'!$A774,FIND(",",'Special Help Table'!$A774)-1),AND(LEN('Special Help Table'!$A774)-LEN(SUBSTITUTE('Special Help Table'!$A774,"editor",""))=6,LEN('Special Help Table'!$A774)-LEN(SUBSTITUTE('Special Help Table'!$A774,"(",""))=0,LEN('Special Help Table'!$A774)-LEN(SUBSTITUTE('Special Help Table'!$A774,"and",""))=3,LEN('Special Help Table'!$A774)-LEN(SUBSTITUTE('Special Help Table'!$A774,",",""))=1,LEN('Special Help Table'!$A774)-LEN(SUBSTITUTE('Special Help Table'!$A774," ",""))=3),'Special Help Table'!$A774)</f>
        <v xml:space="preserve"> David R. Wells</v>
      </c>
      <c r="C774" s="4" t="s">
        <v>1423</v>
      </c>
      <c r="D774" s="2"/>
      <c r="E774" s="2" t="s">
        <v>16</v>
      </c>
      <c r="F774" s="2" t="s">
        <v>20</v>
      </c>
      <c r="G774" s="2"/>
      <c r="H774" s="2"/>
      <c r="I774" s="2"/>
      <c r="J774" s="2" t="s">
        <v>1214</v>
      </c>
      <c r="K774" s="3">
        <v>40046</v>
      </c>
      <c r="L774" s="2"/>
      <c r="M774" s="2"/>
      <c r="N774" s="2" t="s">
        <v>18</v>
      </c>
    </row>
    <row r="775" spans="1:14" ht="15.75" customHeight="1" x14ac:dyDescent="0.35">
      <c r="A775" s="2" t="s">
        <v>1421</v>
      </c>
      <c r="B775" s="2" t="str" cm="1">
        <f t="array" ref="B775">_xlfn.IFS(AND(LEN('Special Help Table'!$A775)-(LEN(SUBSTITUTE('Special Help Table'!$A775,";","")))=0,LEN('Special Help Table'!$A775)-LEN(SUBSTITUTE('Special Help Table'!$A775,",",""))=1,LEN('Special Help Table'!$A775)-LEN(SUBSTITUTE('Special Help Table'!$A775,"and ",""))=0),MID('Special Help Table'!$A775&amp;" "&amp;'Special Help Table'!$A775,SEARCH(", ",'Special Help Table'!$A775)+1,LEN('Special Help Table'!$A775)),AND(LEN('Special Help Table'!$A775)-(LEN(SUBSTITUTE('Special Help Table'!$A775,";","")))=1,LEN('Special Help Table'!$A775)-LEN(SUBSTITUTE('Special Help Table'!$A775,"and ",""))=0),MID('Special Help Table'!$A775,SEARCH(",",'Special Help Table'!$A775)+1,(SEARCH(";",'Special Help Table'!$A775)-1)-SEARCH(",",'Special Help Table'!$A775))&amp;" "&amp;LEFT('Special Help Table'!$A775,SEARCH(",",'Special Help Table'!$A775)-1)&amp;";"&amp;RIGHT('Special Help Table'!$A775,LEN('Special Help Table'!$A775)-SEARCH(",",'Special Help Table'!$A775,SEARCH(";",'Special Help Table'!$A775)))&amp;" "&amp;MID('Special Help Table'!$A775,SEARCH("; ",'Special Help Table'!$A775)+2,SEARCH(",",'Special Help Table'!$A775,SEARCH(";",'Special Help Table'!$A775))-SEARCH(";",'Special Help Table'!$A775)-2),AND(LEN('Special Help Table'!$A775)-LEN(SUBSTITUTE('Special Help Table'!$A775,"and ",""))=0,LEN('Special Help Table'!$A775)-LEN(SUBSTITUTE('Special Help Table'!$A775,";",""))=0),'Special Help Table'!$A775,AND(LEN('Special Help Table'!$A775)-LEN(SUBSTITUTE('Special Help Table'!$A775,",","")=1),LEN('Special Help Table'!$A775)-LEN(SUBSTITUTE('Special Help Table'!$A775," ","")=20),LEN('Special Help Table'!$A775)-LEN(SUBSTITUTE('Special Help Table'!$A775," and",""))=0,LEN('Special Help Table'!$A775)-LEN(SUBSTITUTE('Special Help Table'!$A775,",","",FIND(" ",'Special Help Table'!$A775)+1))=0),RIGHT('Special Help Table'!$A775,LEN('Special Help Table'!$A775)-FIND(", ",'Special Help Table'!$A775))&amp;" "&amp;LEFT('Special Help Table'!$A775,FIND(",",'Special Help Table'!$A775)-1),AND(LEN('Special Help Table'!$A775)-LEN(SUBSTITUTE('Special Help Table'!$A775,"editor",""))=6,LEN('Special Help Table'!$A775)-LEN(SUBSTITUTE('Special Help Table'!$A775,"(",""))=0,LEN('Special Help Table'!$A775)-LEN(SUBSTITUTE('Special Help Table'!$A775,"and",""))=3,LEN('Special Help Table'!$A775)-LEN(SUBSTITUTE('Special Help Table'!$A775,",",""))=1,LEN('Special Help Table'!$A775)-LEN(SUBSTITUTE('Special Help Table'!$A775," ",""))=3),'Special Help Table'!$A775)</f>
        <v xml:space="preserve"> David R. Wells</v>
      </c>
      <c r="C775" s="4" t="s">
        <v>1424</v>
      </c>
      <c r="D775" s="2"/>
      <c r="E775" s="2" t="s">
        <v>16</v>
      </c>
      <c r="F775" s="2" t="s">
        <v>20</v>
      </c>
      <c r="G775" s="2"/>
      <c r="H775" s="2"/>
      <c r="I775" s="2"/>
      <c r="J775" s="2" t="s">
        <v>1214</v>
      </c>
      <c r="K775" s="3">
        <v>41712</v>
      </c>
      <c r="L775" s="2"/>
      <c r="M775" s="2"/>
      <c r="N775" s="2" t="s">
        <v>18</v>
      </c>
    </row>
    <row r="776" spans="1:14" ht="15.75" customHeight="1" x14ac:dyDescent="0.35">
      <c r="A776" s="2" t="s">
        <v>1421</v>
      </c>
      <c r="B776" s="2" t="str" cm="1">
        <f t="array" ref="B776">_xlfn.IFS(AND(LEN('Special Help Table'!$A776)-(LEN(SUBSTITUTE('Special Help Table'!$A776,";","")))=0,LEN('Special Help Table'!$A776)-LEN(SUBSTITUTE('Special Help Table'!$A776,",",""))=1,LEN('Special Help Table'!$A776)-LEN(SUBSTITUTE('Special Help Table'!$A776,"and ",""))=0),MID('Special Help Table'!$A776&amp;" "&amp;'Special Help Table'!$A776,SEARCH(", ",'Special Help Table'!$A776)+1,LEN('Special Help Table'!$A776)),AND(LEN('Special Help Table'!$A776)-(LEN(SUBSTITUTE('Special Help Table'!$A776,";","")))=1,LEN('Special Help Table'!$A776)-LEN(SUBSTITUTE('Special Help Table'!$A776,"and ",""))=0),MID('Special Help Table'!$A776,SEARCH(",",'Special Help Table'!$A776)+1,(SEARCH(";",'Special Help Table'!$A776)-1)-SEARCH(",",'Special Help Table'!$A776))&amp;" "&amp;LEFT('Special Help Table'!$A776,SEARCH(",",'Special Help Table'!$A776)-1)&amp;";"&amp;RIGHT('Special Help Table'!$A776,LEN('Special Help Table'!$A776)-SEARCH(",",'Special Help Table'!$A776,SEARCH(";",'Special Help Table'!$A776)))&amp;" "&amp;MID('Special Help Table'!$A776,SEARCH("; ",'Special Help Table'!$A776)+2,SEARCH(",",'Special Help Table'!$A776,SEARCH(";",'Special Help Table'!$A776))-SEARCH(";",'Special Help Table'!$A776)-2),AND(LEN('Special Help Table'!$A776)-LEN(SUBSTITUTE('Special Help Table'!$A776,"and ",""))=0,LEN('Special Help Table'!$A776)-LEN(SUBSTITUTE('Special Help Table'!$A776,";",""))=0),'Special Help Table'!$A776,AND(LEN('Special Help Table'!$A776)-LEN(SUBSTITUTE('Special Help Table'!$A776,",","")=1),LEN('Special Help Table'!$A776)-LEN(SUBSTITUTE('Special Help Table'!$A776," ","")=20),LEN('Special Help Table'!$A776)-LEN(SUBSTITUTE('Special Help Table'!$A776," and",""))=0,LEN('Special Help Table'!$A776)-LEN(SUBSTITUTE('Special Help Table'!$A776,",","",FIND(" ",'Special Help Table'!$A776)+1))=0),RIGHT('Special Help Table'!$A776,LEN('Special Help Table'!$A776)-FIND(", ",'Special Help Table'!$A776))&amp;" "&amp;LEFT('Special Help Table'!$A776,FIND(",",'Special Help Table'!$A776)-1),AND(LEN('Special Help Table'!$A776)-LEN(SUBSTITUTE('Special Help Table'!$A776,"editor",""))=6,LEN('Special Help Table'!$A776)-LEN(SUBSTITUTE('Special Help Table'!$A776,"(",""))=0,LEN('Special Help Table'!$A776)-LEN(SUBSTITUTE('Special Help Table'!$A776,"and",""))=3,LEN('Special Help Table'!$A776)-LEN(SUBSTITUTE('Special Help Table'!$A776,",",""))=1,LEN('Special Help Table'!$A776)-LEN(SUBSTITUTE('Special Help Table'!$A776," ",""))=3),'Special Help Table'!$A776)</f>
        <v xml:space="preserve"> David R. Wells</v>
      </c>
      <c r="C776" s="4" t="s">
        <v>1425</v>
      </c>
      <c r="D776" s="2"/>
      <c r="E776" s="2" t="s">
        <v>16</v>
      </c>
      <c r="F776" s="2" t="s">
        <v>20</v>
      </c>
      <c r="G776" s="2"/>
      <c r="H776" s="2"/>
      <c r="I776" s="2"/>
      <c r="J776" s="2" t="s">
        <v>1214</v>
      </c>
      <c r="K776" s="3">
        <v>40047</v>
      </c>
      <c r="L776" s="2"/>
      <c r="M776" s="2"/>
      <c r="N776" s="2" t="s">
        <v>18</v>
      </c>
    </row>
    <row r="777" spans="1:14" ht="15.75" customHeight="1" x14ac:dyDescent="0.35">
      <c r="A777" s="2" t="s">
        <v>1421</v>
      </c>
      <c r="B777" s="2" t="str" cm="1">
        <f t="array" ref="B777">_xlfn.IFS(AND(LEN('Special Help Table'!$A777)-(LEN(SUBSTITUTE('Special Help Table'!$A777,";","")))=0,LEN('Special Help Table'!$A777)-LEN(SUBSTITUTE('Special Help Table'!$A777,",",""))=1,LEN('Special Help Table'!$A777)-LEN(SUBSTITUTE('Special Help Table'!$A777,"and ",""))=0),MID('Special Help Table'!$A777&amp;" "&amp;'Special Help Table'!$A777,SEARCH(", ",'Special Help Table'!$A777)+1,LEN('Special Help Table'!$A777)),AND(LEN('Special Help Table'!$A777)-(LEN(SUBSTITUTE('Special Help Table'!$A777,";","")))=1,LEN('Special Help Table'!$A777)-LEN(SUBSTITUTE('Special Help Table'!$A777,"and ",""))=0),MID('Special Help Table'!$A777,SEARCH(",",'Special Help Table'!$A777)+1,(SEARCH(";",'Special Help Table'!$A777)-1)-SEARCH(",",'Special Help Table'!$A777))&amp;" "&amp;LEFT('Special Help Table'!$A777,SEARCH(",",'Special Help Table'!$A777)-1)&amp;";"&amp;RIGHT('Special Help Table'!$A777,LEN('Special Help Table'!$A777)-SEARCH(",",'Special Help Table'!$A777,SEARCH(";",'Special Help Table'!$A777)))&amp;" "&amp;MID('Special Help Table'!$A777,SEARCH("; ",'Special Help Table'!$A777)+2,SEARCH(",",'Special Help Table'!$A777,SEARCH(";",'Special Help Table'!$A777))-SEARCH(";",'Special Help Table'!$A777)-2),AND(LEN('Special Help Table'!$A777)-LEN(SUBSTITUTE('Special Help Table'!$A777,"and ",""))=0,LEN('Special Help Table'!$A777)-LEN(SUBSTITUTE('Special Help Table'!$A777,";",""))=0),'Special Help Table'!$A777,AND(LEN('Special Help Table'!$A777)-LEN(SUBSTITUTE('Special Help Table'!$A777,",","")=1),LEN('Special Help Table'!$A777)-LEN(SUBSTITUTE('Special Help Table'!$A777," ","")=20),LEN('Special Help Table'!$A777)-LEN(SUBSTITUTE('Special Help Table'!$A777," and",""))=0,LEN('Special Help Table'!$A777)-LEN(SUBSTITUTE('Special Help Table'!$A777,",","",FIND(" ",'Special Help Table'!$A777)+1))=0),RIGHT('Special Help Table'!$A777,LEN('Special Help Table'!$A777)-FIND(", ",'Special Help Table'!$A777))&amp;" "&amp;LEFT('Special Help Table'!$A777,FIND(",",'Special Help Table'!$A777)-1),AND(LEN('Special Help Table'!$A777)-LEN(SUBSTITUTE('Special Help Table'!$A777,"editor",""))=6,LEN('Special Help Table'!$A777)-LEN(SUBSTITUTE('Special Help Table'!$A777,"(",""))=0,LEN('Special Help Table'!$A777)-LEN(SUBSTITUTE('Special Help Table'!$A777,"and",""))=3,LEN('Special Help Table'!$A777)-LEN(SUBSTITUTE('Special Help Table'!$A777,",",""))=1,LEN('Special Help Table'!$A777)-LEN(SUBSTITUTE('Special Help Table'!$A777," ",""))=3),'Special Help Table'!$A777)</f>
        <v xml:space="preserve"> David R. Wells</v>
      </c>
      <c r="C777" s="4" t="s">
        <v>1426</v>
      </c>
      <c r="D777" s="2"/>
      <c r="E777" s="2" t="s">
        <v>16</v>
      </c>
      <c r="F777" s="2" t="s">
        <v>20</v>
      </c>
      <c r="G777" s="2"/>
      <c r="H777" s="2"/>
      <c r="I777" s="2"/>
      <c r="J777" s="2" t="s">
        <v>1214</v>
      </c>
      <c r="K777" s="3">
        <v>40048</v>
      </c>
      <c r="L777" s="2"/>
      <c r="M777" s="2"/>
      <c r="N777" s="2" t="s">
        <v>18</v>
      </c>
    </row>
    <row r="778" spans="1:14" ht="15.75" customHeight="1" x14ac:dyDescent="0.35">
      <c r="A778" s="2" t="s">
        <v>1427</v>
      </c>
      <c r="B778" s="2" t="str" cm="1">
        <f t="array" ref="B778">_xlfn.IFS(AND(LEN('Special Help Table'!$A778)-(LEN(SUBSTITUTE('Special Help Table'!$A778,";","")))=0,LEN('Special Help Table'!$A778)-LEN(SUBSTITUTE('Special Help Table'!$A778,",",""))=1,LEN('Special Help Table'!$A778)-LEN(SUBSTITUTE('Special Help Table'!$A778,"and ",""))=0),MID('Special Help Table'!$A778&amp;" "&amp;'Special Help Table'!$A778,SEARCH(", ",'Special Help Table'!$A778)+1,LEN('Special Help Table'!$A778)),AND(LEN('Special Help Table'!$A778)-(LEN(SUBSTITUTE('Special Help Table'!$A778,";","")))=1,LEN('Special Help Table'!$A778)-LEN(SUBSTITUTE('Special Help Table'!$A778,"and ",""))=0),MID('Special Help Table'!$A778,SEARCH(",",'Special Help Table'!$A778)+1,(SEARCH(";",'Special Help Table'!$A778)-1)-SEARCH(",",'Special Help Table'!$A778))&amp;" "&amp;LEFT('Special Help Table'!$A778,SEARCH(",",'Special Help Table'!$A778)-1)&amp;";"&amp;RIGHT('Special Help Table'!$A778,LEN('Special Help Table'!$A778)-SEARCH(",",'Special Help Table'!$A778,SEARCH(";",'Special Help Table'!$A778)))&amp;" "&amp;MID('Special Help Table'!$A778,SEARCH("; ",'Special Help Table'!$A778)+2,SEARCH(",",'Special Help Table'!$A778,SEARCH(";",'Special Help Table'!$A778))-SEARCH(";",'Special Help Table'!$A778)-2),AND(LEN('Special Help Table'!$A778)-LEN(SUBSTITUTE('Special Help Table'!$A778,"and ",""))=0,LEN('Special Help Table'!$A778)-LEN(SUBSTITUTE('Special Help Table'!$A778,";",""))=0),'Special Help Table'!$A778,AND(LEN('Special Help Table'!$A778)-LEN(SUBSTITUTE('Special Help Table'!$A778,",","")=1),LEN('Special Help Table'!$A778)-LEN(SUBSTITUTE('Special Help Table'!$A778," ","")=20),LEN('Special Help Table'!$A778)-LEN(SUBSTITUTE('Special Help Table'!$A778," and",""))=0,LEN('Special Help Table'!$A778)-LEN(SUBSTITUTE('Special Help Table'!$A778,",","",FIND(" ",'Special Help Table'!$A778)+1))=0),RIGHT('Special Help Table'!$A778,LEN('Special Help Table'!$A778)-FIND(", ",'Special Help Table'!$A778))&amp;" "&amp;LEFT('Special Help Table'!$A778,FIND(",",'Special Help Table'!$A778)-1),AND(LEN('Special Help Table'!$A778)-LEN(SUBSTITUTE('Special Help Table'!$A778,"editor",""))=6,LEN('Special Help Table'!$A778)-LEN(SUBSTITUTE('Special Help Table'!$A778,"(",""))=0,LEN('Special Help Table'!$A778)-LEN(SUBSTITUTE('Special Help Table'!$A778,"and",""))=3,LEN('Special Help Table'!$A778)-LEN(SUBSTITUTE('Special Help Table'!$A778,",",""))=1,LEN('Special Help Table'!$A778)-LEN(SUBSTITUTE('Special Help Table'!$A778," ",""))=3),'Special Help Table'!$A778)</f>
        <v xml:space="preserve"> Hugh Whelchel</v>
      </c>
      <c r="C778" s="4" t="s">
        <v>1428</v>
      </c>
      <c r="D778" s="2"/>
      <c r="E778" s="2" t="s">
        <v>16</v>
      </c>
      <c r="F778" s="2" t="s">
        <v>36</v>
      </c>
      <c r="G778" s="2"/>
      <c r="H778" s="2"/>
      <c r="I778" s="2"/>
      <c r="J778" s="2" t="s">
        <v>310</v>
      </c>
      <c r="K778" s="3">
        <v>41468</v>
      </c>
      <c r="L778" s="2"/>
      <c r="M778" s="2"/>
      <c r="N778" s="2" t="s">
        <v>18</v>
      </c>
    </row>
    <row r="779" spans="1:14" ht="15.75" customHeight="1" x14ac:dyDescent="0.35">
      <c r="A779" s="2" t="s">
        <v>1429</v>
      </c>
      <c r="B779" s="2" t="str" cm="1">
        <f t="array" ref="B779">_xlfn.IFS(AND(LEN('Special Help Table'!$A779)-(LEN(SUBSTITUTE('Special Help Table'!$A779,";","")))=0,LEN('Special Help Table'!$A779)-LEN(SUBSTITUTE('Special Help Table'!$A779,",",""))=1,LEN('Special Help Table'!$A779)-LEN(SUBSTITUTE('Special Help Table'!$A779,"and ",""))=0),MID('Special Help Table'!$A779&amp;" "&amp;'Special Help Table'!$A779,SEARCH(", ",'Special Help Table'!$A779)+1,LEN('Special Help Table'!$A779)),AND(LEN('Special Help Table'!$A779)-(LEN(SUBSTITUTE('Special Help Table'!$A779,";","")))=1,LEN('Special Help Table'!$A779)-LEN(SUBSTITUTE('Special Help Table'!$A779,"and ",""))=0),MID('Special Help Table'!$A779,SEARCH(",",'Special Help Table'!$A779)+1,(SEARCH(";",'Special Help Table'!$A779)-1)-SEARCH(",",'Special Help Table'!$A779))&amp;" "&amp;LEFT('Special Help Table'!$A779,SEARCH(",",'Special Help Table'!$A779)-1)&amp;";"&amp;RIGHT('Special Help Table'!$A779,LEN('Special Help Table'!$A779)-SEARCH(",",'Special Help Table'!$A779,SEARCH(";",'Special Help Table'!$A779)))&amp;" "&amp;MID('Special Help Table'!$A779,SEARCH("; ",'Special Help Table'!$A779)+2,SEARCH(",",'Special Help Table'!$A779,SEARCH(";",'Special Help Table'!$A779))-SEARCH(";",'Special Help Table'!$A779)-2),AND(LEN('Special Help Table'!$A779)-LEN(SUBSTITUTE('Special Help Table'!$A779,"and ",""))=0,LEN('Special Help Table'!$A779)-LEN(SUBSTITUTE('Special Help Table'!$A779,";",""))=0),'Special Help Table'!$A779,AND(LEN('Special Help Table'!$A779)-LEN(SUBSTITUTE('Special Help Table'!$A779,",","")=1),LEN('Special Help Table'!$A779)-LEN(SUBSTITUTE('Special Help Table'!$A779," ","")=20),LEN('Special Help Table'!$A779)-LEN(SUBSTITUTE('Special Help Table'!$A779," and",""))=0,LEN('Special Help Table'!$A779)-LEN(SUBSTITUTE('Special Help Table'!$A779,",","",FIND(" ",'Special Help Table'!$A779)+1))=0),RIGHT('Special Help Table'!$A779,LEN('Special Help Table'!$A779)-FIND(", ",'Special Help Table'!$A779))&amp;" "&amp;LEFT('Special Help Table'!$A779,FIND(",",'Special Help Table'!$A779)-1),AND(LEN('Special Help Table'!$A779)-LEN(SUBSTITUTE('Special Help Table'!$A779,"editor",""))=6,LEN('Special Help Table'!$A779)-LEN(SUBSTITUTE('Special Help Table'!$A779,"(",""))=0,LEN('Special Help Table'!$A779)-LEN(SUBSTITUTE('Special Help Table'!$A779,"and",""))=3,LEN('Special Help Table'!$A779)-LEN(SUBSTITUTE('Special Help Table'!$A779,",",""))=1,LEN('Special Help Table'!$A779)-LEN(SUBSTITUTE('Special Help Table'!$A779," ",""))=3),'Special Help Table'!$A779)</f>
        <v xml:space="preserve"> David White</v>
      </c>
      <c r="C779" s="4" t="s">
        <v>1430</v>
      </c>
      <c r="D779" s="2"/>
      <c r="E779" s="2" t="s">
        <v>16</v>
      </c>
      <c r="F779" s="2" t="s">
        <v>17</v>
      </c>
      <c r="G779" s="2"/>
      <c r="H779" s="2"/>
      <c r="I779" s="2"/>
      <c r="J779" s="2" t="s">
        <v>619</v>
      </c>
      <c r="K779" s="3">
        <v>41346</v>
      </c>
      <c r="L779" s="2"/>
      <c r="M779" s="2"/>
      <c r="N779" s="2" t="s">
        <v>18</v>
      </c>
    </row>
    <row r="780" spans="1:14" ht="15.75" customHeight="1" x14ac:dyDescent="0.35">
      <c r="A780" s="2" t="s">
        <v>1431</v>
      </c>
      <c r="B780" s="2" t="str" cm="1">
        <f t="array" ref="B780">_xlfn.IFS(AND(LEN('Special Help Table'!$A780)-(LEN(SUBSTITUTE('Special Help Table'!$A780,";","")))=0,LEN('Special Help Table'!$A780)-LEN(SUBSTITUTE('Special Help Table'!$A780,",",""))=1,LEN('Special Help Table'!$A780)-LEN(SUBSTITUTE('Special Help Table'!$A780,"and ",""))=0),MID('Special Help Table'!$A780&amp;" "&amp;'Special Help Table'!$A780,SEARCH(", ",'Special Help Table'!$A780)+1,LEN('Special Help Table'!$A780)),AND(LEN('Special Help Table'!$A780)-(LEN(SUBSTITUTE('Special Help Table'!$A780,";","")))=1,LEN('Special Help Table'!$A780)-LEN(SUBSTITUTE('Special Help Table'!$A780,"and ",""))=0),MID('Special Help Table'!$A780,SEARCH(",",'Special Help Table'!$A780)+1,(SEARCH(";",'Special Help Table'!$A780)-1)-SEARCH(",",'Special Help Table'!$A780))&amp;" "&amp;LEFT('Special Help Table'!$A780,SEARCH(",",'Special Help Table'!$A780)-1)&amp;";"&amp;RIGHT('Special Help Table'!$A780,LEN('Special Help Table'!$A780)-SEARCH(",",'Special Help Table'!$A780,SEARCH(";",'Special Help Table'!$A780)))&amp;" "&amp;MID('Special Help Table'!$A780,SEARCH("; ",'Special Help Table'!$A780)+2,SEARCH(",",'Special Help Table'!$A780,SEARCH(";",'Special Help Table'!$A780))-SEARCH(";",'Special Help Table'!$A780)-2),AND(LEN('Special Help Table'!$A780)-LEN(SUBSTITUTE('Special Help Table'!$A780,"and ",""))=0,LEN('Special Help Table'!$A780)-LEN(SUBSTITUTE('Special Help Table'!$A780,";",""))=0),'Special Help Table'!$A780,AND(LEN('Special Help Table'!$A780)-LEN(SUBSTITUTE('Special Help Table'!$A780,",","")=1),LEN('Special Help Table'!$A780)-LEN(SUBSTITUTE('Special Help Table'!$A780," ","")=20),LEN('Special Help Table'!$A780)-LEN(SUBSTITUTE('Special Help Table'!$A780," and",""))=0,LEN('Special Help Table'!$A780)-LEN(SUBSTITUTE('Special Help Table'!$A780,",","",FIND(" ",'Special Help Table'!$A780)+1))=0),RIGHT('Special Help Table'!$A780,LEN('Special Help Table'!$A780)-FIND(", ",'Special Help Table'!$A780))&amp;" "&amp;LEFT('Special Help Table'!$A780,FIND(",",'Special Help Table'!$A780)-1),AND(LEN('Special Help Table'!$A780)-LEN(SUBSTITUTE('Special Help Table'!$A780,"editor",""))=6,LEN('Special Help Table'!$A780)-LEN(SUBSTITUTE('Special Help Table'!$A780,"(",""))=0,LEN('Special Help Table'!$A780)-LEN(SUBSTITUTE('Special Help Table'!$A780,"and",""))=3,LEN('Special Help Table'!$A780)-LEN(SUBSTITUTE('Special Help Table'!$A780,",",""))=1,LEN('Special Help Table'!$A780)-LEN(SUBSTITUTE('Special Help Table'!$A780," ",""))=3),'Special Help Table'!$A780)</f>
        <v xml:space="preserve"> James R. White</v>
      </c>
      <c r="C780" s="4" t="s">
        <v>1432</v>
      </c>
      <c r="D780" s="2"/>
      <c r="E780" s="2" t="s">
        <v>16</v>
      </c>
      <c r="F780" s="2" t="s">
        <v>20</v>
      </c>
      <c r="G780" s="2"/>
      <c r="H780" s="2"/>
      <c r="I780" s="2"/>
      <c r="J780" s="2" t="s">
        <v>319</v>
      </c>
      <c r="K780" s="3">
        <v>41468</v>
      </c>
      <c r="L780" s="2"/>
      <c r="M780" s="2"/>
      <c r="N780" s="2" t="s">
        <v>18</v>
      </c>
    </row>
    <row r="781" spans="1:14" ht="15.75" customHeight="1" x14ac:dyDescent="0.35">
      <c r="A781" s="2" t="s">
        <v>1433</v>
      </c>
      <c r="B781" s="2" t="str" cm="1">
        <f t="array" ref="B781">_xlfn.IFS(AND(LEN('Special Help Table'!$A781)-(LEN(SUBSTITUTE('Special Help Table'!$A781,";","")))=0,LEN('Special Help Table'!$A781)-LEN(SUBSTITUTE('Special Help Table'!$A781,",",""))=1,LEN('Special Help Table'!$A781)-LEN(SUBSTITUTE('Special Help Table'!$A781,"and ",""))=0),MID('Special Help Table'!$A781&amp;" "&amp;'Special Help Table'!$A781,SEARCH(", ",'Special Help Table'!$A781)+1,LEN('Special Help Table'!$A781)),AND(LEN('Special Help Table'!$A781)-(LEN(SUBSTITUTE('Special Help Table'!$A781,";","")))=1,LEN('Special Help Table'!$A781)-LEN(SUBSTITUTE('Special Help Table'!$A781,"and ",""))=0),MID('Special Help Table'!$A781,SEARCH(",",'Special Help Table'!$A781)+1,(SEARCH(";",'Special Help Table'!$A781)-1)-SEARCH(",",'Special Help Table'!$A781))&amp;" "&amp;LEFT('Special Help Table'!$A781,SEARCH(",",'Special Help Table'!$A781)-1)&amp;";"&amp;RIGHT('Special Help Table'!$A781,LEN('Special Help Table'!$A781)-SEARCH(",",'Special Help Table'!$A781,SEARCH(";",'Special Help Table'!$A781)))&amp;" "&amp;MID('Special Help Table'!$A781,SEARCH("; ",'Special Help Table'!$A781)+2,SEARCH(",",'Special Help Table'!$A781,SEARCH(";",'Special Help Table'!$A781))-SEARCH(";",'Special Help Table'!$A781)-2),AND(LEN('Special Help Table'!$A781)-LEN(SUBSTITUTE('Special Help Table'!$A781,"and ",""))=0,LEN('Special Help Table'!$A781)-LEN(SUBSTITUTE('Special Help Table'!$A781,";",""))=0),'Special Help Table'!$A781,AND(LEN('Special Help Table'!$A781)-LEN(SUBSTITUTE('Special Help Table'!$A781,",","")=1),LEN('Special Help Table'!$A781)-LEN(SUBSTITUTE('Special Help Table'!$A781," ","")=20),LEN('Special Help Table'!$A781)-LEN(SUBSTITUTE('Special Help Table'!$A781," and",""))=0,LEN('Special Help Table'!$A781)-LEN(SUBSTITUTE('Special Help Table'!$A781,",","",FIND(" ",'Special Help Table'!$A781)+1))=0),RIGHT('Special Help Table'!$A781,LEN('Special Help Table'!$A781)-FIND(", ",'Special Help Table'!$A781))&amp;" "&amp;LEFT('Special Help Table'!$A781,FIND(",",'Special Help Table'!$A781)-1),AND(LEN('Special Help Table'!$A781)-LEN(SUBSTITUTE('Special Help Table'!$A781,"editor",""))=6,LEN('Special Help Table'!$A781)-LEN(SUBSTITUTE('Special Help Table'!$A781,"(",""))=0,LEN('Special Help Table'!$A781)-LEN(SUBSTITUTE('Special Help Table'!$A781,"and",""))=3,LEN('Special Help Table'!$A781)-LEN(SUBSTITUTE('Special Help Table'!$A781,",",""))=1,LEN('Special Help Table'!$A781)-LEN(SUBSTITUTE('Special Help Table'!$A781," ",""))=3),'Special Help Table'!$A781)</f>
        <v xml:space="preserve"> Kathleen White</v>
      </c>
      <c r="C781" s="4" t="s">
        <v>1434</v>
      </c>
      <c r="D781" s="2"/>
      <c r="E781" s="2" t="s">
        <v>16</v>
      </c>
      <c r="F781" s="2" t="s">
        <v>39</v>
      </c>
      <c r="G781" s="2"/>
      <c r="H781" s="2"/>
      <c r="I781" s="2"/>
      <c r="J781" s="2"/>
      <c r="K781" s="3">
        <v>40522</v>
      </c>
      <c r="L781" s="2"/>
      <c r="M781" s="2"/>
      <c r="N781" s="2" t="s">
        <v>18</v>
      </c>
    </row>
    <row r="782" spans="1:14" ht="15.75" customHeight="1" x14ac:dyDescent="0.35">
      <c r="A782" s="2" t="s">
        <v>1435</v>
      </c>
      <c r="B782" s="2" t="str" cm="1">
        <f t="array" ref="B782">_xlfn.IFS(AND(LEN('Special Help Table'!$A782)-(LEN(SUBSTITUTE('Special Help Table'!$A782,";","")))=0,LEN('Special Help Table'!$A782)-LEN(SUBSTITUTE('Special Help Table'!$A782,",",""))=1,LEN('Special Help Table'!$A782)-LEN(SUBSTITUTE('Special Help Table'!$A782,"and ",""))=0),MID('Special Help Table'!$A782&amp;" "&amp;'Special Help Table'!$A782,SEARCH(", ",'Special Help Table'!$A782)+1,LEN('Special Help Table'!$A782)),AND(LEN('Special Help Table'!$A782)-(LEN(SUBSTITUTE('Special Help Table'!$A782,";","")))=1,LEN('Special Help Table'!$A782)-LEN(SUBSTITUTE('Special Help Table'!$A782,"and ",""))=0),MID('Special Help Table'!$A782,SEARCH(",",'Special Help Table'!$A782)+1,(SEARCH(";",'Special Help Table'!$A782)-1)-SEARCH(",",'Special Help Table'!$A782))&amp;" "&amp;LEFT('Special Help Table'!$A782,SEARCH(",",'Special Help Table'!$A782)-1)&amp;";"&amp;RIGHT('Special Help Table'!$A782,LEN('Special Help Table'!$A782)-SEARCH(",",'Special Help Table'!$A782,SEARCH(";",'Special Help Table'!$A782)))&amp;" "&amp;MID('Special Help Table'!$A782,SEARCH("; ",'Special Help Table'!$A782)+2,SEARCH(",",'Special Help Table'!$A782,SEARCH(";",'Special Help Table'!$A782))-SEARCH(";",'Special Help Table'!$A782)-2),AND(LEN('Special Help Table'!$A782)-LEN(SUBSTITUTE('Special Help Table'!$A782,"and ",""))=0,LEN('Special Help Table'!$A782)-LEN(SUBSTITUTE('Special Help Table'!$A782,";",""))=0),'Special Help Table'!$A782,AND(LEN('Special Help Table'!$A782)-LEN(SUBSTITUTE('Special Help Table'!$A782,",","")=1),LEN('Special Help Table'!$A782)-LEN(SUBSTITUTE('Special Help Table'!$A782," ","")=20),LEN('Special Help Table'!$A782)-LEN(SUBSTITUTE('Special Help Table'!$A782," and",""))=0,LEN('Special Help Table'!$A782)-LEN(SUBSTITUTE('Special Help Table'!$A782,",","",FIND(" ",'Special Help Table'!$A782)+1))=0),RIGHT('Special Help Table'!$A782,LEN('Special Help Table'!$A782)-FIND(", ",'Special Help Table'!$A782))&amp;" "&amp;LEFT('Special Help Table'!$A782,FIND(",",'Special Help Table'!$A782)-1),AND(LEN('Special Help Table'!$A782)-LEN(SUBSTITUTE('Special Help Table'!$A782,"editor",""))=6,LEN('Special Help Table'!$A782)-LEN(SUBSTITUTE('Special Help Table'!$A782,"(",""))=0,LEN('Special Help Table'!$A782)-LEN(SUBSTITUTE('Special Help Table'!$A782,"and",""))=3,LEN('Special Help Table'!$A782)-LEN(SUBSTITUTE('Special Help Table'!$A782,",",""))=1,LEN('Special Help Table'!$A782)-LEN(SUBSTITUTE('Special Help Table'!$A782," ",""))=3),'Special Help Table'!$A782)</f>
        <v xml:space="preserve"> Paul White</v>
      </c>
      <c r="C782" s="4" t="s">
        <v>1436</v>
      </c>
      <c r="D782" s="2" t="s">
        <v>1437</v>
      </c>
      <c r="E782" s="2" t="s">
        <v>16</v>
      </c>
      <c r="F782" s="2" t="s">
        <v>72</v>
      </c>
      <c r="G782" s="2"/>
      <c r="H782" s="2"/>
      <c r="I782" s="2"/>
      <c r="J782" s="2"/>
      <c r="K782" s="3">
        <v>41804</v>
      </c>
      <c r="L782" s="2"/>
      <c r="M782" s="2"/>
      <c r="N782" s="2" t="s">
        <v>18</v>
      </c>
    </row>
    <row r="783" spans="1:14" ht="15.75" customHeight="1" x14ac:dyDescent="0.35">
      <c r="A783" s="2" t="s">
        <v>1435</v>
      </c>
      <c r="B783" s="2" t="str" cm="1">
        <f t="array" ref="B783">_xlfn.IFS(AND(LEN('Special Help Table'!$A783)-(LEN(SUBSTITUTE('Special Help Table'!$A783,";","")))=0,LEN('Special Help Table'!$A783)-LEN(SUBSTITUTE('Special Help Table'!$A783,",",""))=1,LEN('Special Help Table'!$A783)-LEN(SUBSTITUTE('Special Help Table'!$A783,"and ",""))=0),MID('Special Help Table'!$A783&amp;" "&amp;'Special Help Table'!$A783,SEARCH(", ",'Special Help Table'!$A783)+1,LEN('Special Help Table'!$A783)),AND(LEN('Special Help Table'!$A783)-(LEN(SUBSTITUTE('Special Help Table'!$A783,";","")))=1,LEN('Special Help Table'!$A783)-LEN(SUBSTITUTE('Special Help Table'!$A783,"and ",""))=0),MID('Special Help Table'!$A783,SEARCH(",",'Special Help Table'!$A783)+1,(SEARCH(";",'Special Help Table'!$A783)-1)-SEARCH(",",'Special Help Table'!$A783))&amp;" "&amp;LEFT('Special Help Table'!$A783,SEARCH(",",'Special Help Table'!$A783)-1)&amp;";"&amp;RIGHT('Special Help Table'!$A783,LEN('Special Help Table'!$A783)-SEARCH(",",'Special Help Table'!$A783,SEARCH(";",'Special Help Table'!$A783)))&amp;" "&amp;MID('Special Help Table'!$A783,SEARCH("; ",'Special Help Table'!$A783)+2,SEARCH(",",'Special Help Table'!$A783,SEARCH(";",'Special Help Table'!$A783))-SEARCH(";",'Special Help Table'!$A783)-2),AND(LEN('Special Help Table'!$A783)-LEN(SUBSTITUTE('Special Help Table'!$A783,"and ",""))=0,LEN('Special Help Table'!$A783)-LEN(SUBSTITUTE('Special Help Table'!$A783,";",""))=0),'Special Help Table'!$A783,AND(LEN('Special Help Table'!$A783)-LEN(SUBSTITUTE('Special Help Table'!$A783,",","")=1),LEN('Special Help Table'!$A783)-LEN(SUBSTITUTE('Special Help Table'!$A783," ","")=20),LEN('Special Help Table'!$A783)-LEN(SUBSTITUTE('Special Help Table'!$A783," and",""))=0,LEN('Special Help Table'!$A783)-LEN(SUBSTITUTE('Special Help Table'!$A783,",","",FIND(" ",'Special Help Table'!$A783)+1))=0),RIGHT('Special Help Table'!$A783,LEN('Special Help Table'!$A783)-FIND(", ",'Special Help Table'!$A783))&amp;" "&amp;LEFT('Special Help Table'!$A783,FIND(",",'Special Help Table'!$A783)-1),AND(LEN('Special Help Table'!$A783)-LEN(SUBSTITUTE('Special Help Table'!$A783,"editor",""))=6,LEN('Special Help Table'!$A783)-LEN(SUBSTITUTE('Special Help Table'!$A783,"(",""))=0,LEN('Special Help Table'!$A783)-LEN(SUBSTITUTE('Special Help Table'!$A783,"and",""))=3,LEN('Special Help Table'!$A783)-LEN(SUBSTITUTE('Special Help Table'!$A783,",",""))=1,LEN('Special Help Table'!$A783)-LEN(SUBSTITUTE('Special Help Table'!$A783," ",""))=3),'Special Help Table'!$A783)</f>
        <v xml:space="preserve"> Paul White</v>
      </c>
      <c r="C783" s="4" t="s">
        <v>1438</v>
      </c>
      <c r="D783" s="2" t="s">
        <v>1437</v>
      </c>
      <c r="E783" s="2" t="s">
        <v>16</v>
      </c>
      <c r="F783" s="2" t="s">
        <v>72</v>
      </c>
      <c r="G783" s="2"/>
      <c r="H783" s="2"/>
      <c r="I783" s="2"/>
      <c r="J783" s="2"/>
      <c r="K783" s="3">
        <v>41164</v>
      </c>
      <c r="L783" s="2"/>
      <c r="M783" s="2"/>
      <c r="N783" s="2" t="s">
        <v>18</v>
      </c>
    </row>
    <row r="784" spans="1:14" ht="15.75" customHeight="1" x14ac:dyDescent="0.35">
      <c r="A784" s="2" t="s">
        <v>1435</v>
      </c>
      <c r="B784" s="2" t="str" cm="1">
        <f t="array" ref="B784">_xlfn.IFS(AND(LEN('Special Help Table'!$A784)-(LEN(SUBSTITUTE('Special Help Table'!$A784,";","")))=0,LEN('Special Help Table'!$A784)-LEN(SUBSTITUTE('Special Help Table'!$A784,",",""))=1,LEN('Special Help Table'!$A784)-LEN(SUBSTITUTE('Special Help Table'!$A784,"and ",""))=0),MID('Special Help Table'!$A784&amp;" "&amp;'Special Help Table'!$A784,SEARCH(", ",'Special Help Table'!$A784)+1,LEN('Special Help Table'!$A784)),AND(LEN('Special Help Table'!$A784)-(LEN(SUBSTITUTE('Special Help Table'!$A784,";","")))=1,LEN('Special Help Table'!$A784)-LEN(SUBSTITUTE('Special Help Table'!$A784,"and ",""))=0),MID('Special Help Table'!$A784,SEARCH(",",'Special Help Table'!$A784)+1,(SEARCH(";",'Special Help Table'!$A784)-1)-SEARCH(",",'Special Help Table'!$A784))&amp;" "&amp;LEFT('Special Help Table'!$A784,SEARCH(",",'Special Help Table'!$A784)-1)&amp;";"&amp;RIGHT('Special Help Table'!$A784,LEN('Special Help Table'!$A784)-SEARCH(",",'Special Help Table'!$A784,SEARCH(";",'Special Help Table'!$A784)))&amp;" "&amp;MID('Special Help Table'!$A784,SEARCH("; ",'Special Help Table'!$A784)+2,SEARCH(",",'Special Help Table'!$A784,SEARCH(";",'Special Help Table'!$A784))-SEARCH(";",'Special Help Table'!$A784)-2),AND(LEN('Special Help Table'!$A784)-LEN(SUBSTITUTE('Special Help Table'!$A784,"and ",""))=0,LEN('Special Help Table'!$A784)-LEN(SUBSTITUTE('Special Help Table'!$A784,";",""))=0),'Special Help Table'!$A784,AND(LEN('Special Help Table'!$A784)-LEN(SUBSTITUTE('Special Help Table'!$A784,",","")=1),LEN('Special Help Table'!$A784)-LEN(SUBSTITUTE('Special Help Table'!$A784," ","")=20),LEN('Special Help Table'!$A784)-LEN(SUBSTITUTE('Special Help Table'!$A784," and",""))=0,LEN('Special Help Table'!$A784)-LEN(SUBSTITUTE('Special Help Table'!$A784,",","",FIND(" ",'Special Help Table'!$A784)+1))=0),RIGHT('Special Help Table'!$A784,LEN('Special Help Table'!$A784)-FIND(", ",'Special Help Table'!$A784))&amp;" "&amp;LEFT('Special Help Table'!$A784,FIND(",",'Special Help Table'!$A784)-1),AND(LEN('Special Help Table'!$A784)-LEN(SUBSTITUTE('Special Help Table'!$A784,"editor",""))=6,LEN('Special Help Table'!$A784)-LEN(SUBSTITUTE('Special Help Table'!$A784,"(",""))=0,LEN('Special Help Table'!$A784)-LEN(SUBSTITUTE('Special Help Table'!$A784,"and",""))=3,LEN('Special Help Table'!$A784)-LEN(SUBSTITUTE('Special Help Table'!$A784,",",""))=1,LEN('Special Help Table'!$A784)-LEN(SUBSTITUTE('Special Help Table'!$A784," ",""))=3),'Special Help Table'!$A784)</f>
        <v xml:space="preserve"> Paul White</v>
      </c>
      <c r="C784" s="4" t="s">
        <v>1439</v>
      </c>
      <c r="D784" s="2" t="s">
        <v>1437</v>
      </c>
      <c r="E784" s="2" t="s">
        <v>16</v>
      </c>
      <c r="F784" s="2" t="s">
        <v>72</v>
      </c>
      <c r="G784" s="2"/>
      <c r="H784" s="2"/>
      <c r="I784" s="2"/>
      <c r="J784" s="2"/>
      <c r="K784" s="3">
        <v>41804</v>
      </c>
      <c r="L784" s="2"/>
      <c r="M784" s="2"/>
      <c r="N784" s="2" t="s">
        <v>18</v>
      </c>
    </row>
    <row r="785" spans="1:14" ht="15.75" customHeight="1" x14ac:dyDescent="0.35">
      <c r="A785" s="2" t="s">
        <v>1435</v>
      </c>
      <c r="B785" s="2" t="str" cm="1">
        <f t="array" ref="B785">_xlfn.IFS(AND(LEN('Special Help Table'!$A785)-(LEN(SUBSTITUTE('Special Help Table'!$A785,";","")))=0,LEN('Special Help Table'!$A785)-LEN(SUBSTITUTE('Special Help Table'!$A785,",",""))=1,LEN('Special Help Table'!$A785)-LEN(SUBSTITUTE('Special Help Table'!$A785,"and ",""))=0),MID('Special Help Table'!$A785&amp;" "&amp;'Special Help Table'!$A785,SEARCH(", ",'Special Help Table'!$A785)+1,LEN('Special Help Table'!$A785)),AND(LEN('Special Help Table'!$A785)-(LEN(SUBSTITUTE('Special Help Table'!$A785,";","")))=1,LEN('Special Help Table'!$A785)-LEN(SUBSTITUTE('Special Help Table'!$A785,"and ",""))=0),MID('Special Help Table'!$A785,SEARCH(",",'Special Help Table'!$A785)+1,(SEARCH(";",'Special Help Table'!$A785)-1)-SEARCH(",",'Special Help Table'!$A785))&amp;" "&amp;LEFT('Special Help Table'!$A785,SEARCH(",",'Special Help Table'!$A785)-1)&amp;";"&amp;RIGHT('Special Help Table'!$A785,LEN('Special Help Table'!$A785)-SEARCH(",",'Special Help Table'!$A785,SEARCH(";",'Special Help Table'!$A785)))&amp;" "&amp;MID('Special Help Table'!$A785,SEARCH("; ",'Special Help Table'!$A785)+2,SEARCH(",",'Special Help Table'!$A785,SEARCH(";",'Special Help Table'!$A785))-SEARCH(";",'Special Help Table'!$A785)-2),AND(LEN('Special Help Table'!$A785)-LEN(SUBSTITUTE('Special Help Table'!$A785,"and ",""))=0,LEN('Special Help Table'!$A785)-LEN(SUBSTITUTE('Special Help Table'!$A785,";",""))=0),'Special Help Table'!$A785,AND(LEN('Special Help Table'!$A785)-LEN(SUBSTITUTE('Special Help Table'!$A785,",","")=1),LEN('Special Help Table'!$A785)-LEN(SUBSTITUTE('Special Help Table'!$A785," ","")=20),LEN('Special Help Table'!$A785)-LEN(SUBSTITUTE('Special Help Table'!$A785," and",""))=0,LEN('Special Help Table'!$A785)-LEN(SUBSTITUTE('Special Help Table'!$A785,",","",FIND(" ",'Special Help Table'!$A785)+1))=0),RIGHT('Special Help Table'!$A785,LEN('Special Help Table'!$A785)-FIND(", ",'Special Help Table'!$A785))&amp;" "&amp;LEFT('Special Help Table'!$A785,FIND(",",'Special Help Table'!$A785)-1),AND(LEN('Special Help Table'!$A785)-LEN(SUBSTITUTE('Special Help Table'!$A785,"editor",""))=6,LEN('Special Help Table'!$A785)-LEN(SUBSTITUTE('Special Help Table'!$A785,"(",""))=0,LEN('Special Help Table'!$A785)-LEN(SUBSTITUTE('Special Help Table'!$A785,"and",""))=3,LEN('Special Help Table'!$A785)-LEN(SUBSTITUTE('Special Help Table'!$A785,",",""))=1,LEN('Special Help Table'!$A785)-LEN(SUBSTITUTE('Special Help Table'!$A785," ",""))=3),'Special Help Table'!$A785)</f>
        <v xml:space="preserve"> Paul White</v>
      </c>
      <c r="C785" s="4" t="s">
        <v>1440</v>
      </c>
      <c r="D785" s="2" t="s">
        <v>1437</v>
      </c>
      <c r="E785" s="2" t="s">
        <v>16</v>
      </c>
      <c r="F785" s="2" t="s">
        <v>72</v>
      </c>
      <c r="G785" s="2"/>
      <c r="H785" s="2"/>
      <c r="I785" s="2"/>
      <c r="J785" s="2"/>
      <c r="K785" s="3">
        <v>42511</v>
      </c>
      <c r="L785" s="2"/>
      <c r="M785" s="2"/>
      <c r="N785" s="2" t="s">
        <v>18</v>
      </c>
    </row>
    <row r="786" spans="1:14" ht="15.75" customHeight="1" x14ac:dyDescent="0.35">
      <c r="A786" s="2" t="s">
        <v>1435</v>
      </c>
      <c r="B786" s="2" t="str" cm="1">
        <f t="array" ref="B786">_xlfn.IFS(AND(LEN('Special Help Table'!$A786)-(LEN(SUBSTITUTE('Special Help Table'!$A786,";","")))=0,LEN('Special Help Table'!$A786)-LEN(SUBSTITUTE('Special Help Table'!$A786,",",""))=1,LEN('Special Help Table'!$A786)-LEN(SUBSTITUTE('Special Help Table'!$A786,"and ",""))=0),MID('Special Help Table'!$A786&amp;" "&amp;'Special Help Table'!$A786,SEARCH(", ",'Special Help Table'!$A786)+1,LEN('Special Help Table'!$A786)),AND(LEN('Special Help Table'!$A786)-(LEN(SUBSTITUTE('Special Help Table'!$A786,";","")))=1,LEN('Special Help Table'!$A786)-LEN(SUBSTITUTE('Special Help Table'!$A786,"and ",""))=0),MID('Special Help Table'!$A786,SEARCH(",",'Special Help Table'!$A786)+1,(SEARCH(";",'Special Help Table'!$A786)-1)-SEARCH(",",'Special Help Table'!$A786))&amp;" "&amp;LEFT('Special Help Table'!$A786,SEARCH(",",'Special Help Table'!$A786)-1)&amp;";"&amp;RIGHT('Special Help Table'!$A786,LEN('Special Help Table'!$A786)-SEARCH(",",'Special Help Table'!$A786,SEARCH(";",'Special Help Table'!$A786)))&amp;" "&amp;MID('Special Help Table'!$A786,SEARCH("; ",'Special Help Table'!$A786)+2,SEARCH(",",'Special Help Table'!$A786,SEARCH(";",'Special Help Table'!$A786))-SEARCH(";",'Special Help Table'!$A786)-2),AND(LEN('Special Help Table'!$A786)-LEN(SUBSTITUTE('Special Help Table'!$A786,"and ",""))=0,LEN('Special Help Table'!$A786)-LEN(SUBSTITUTE('Special Help Table'!$A786,";",""))=0),'Special Help Table'!$A786,AND(LEN('Special Help Table'!$A786)-LEN(SUBSTITUTE('Special Help Table'!$A786,",","")=1),LEN('Special Help Table'!$A786)-LEN(SUBSTITUTE('Special Help Table'!$A786," ","")=20),LEN('Special Help Table'!$A786)-LEN(SUBSTITUTE('Special Help Table'!$A786," and",""))=0,LEN('Special Help Table'!$A786)-LEN(SUBSTITUTE('Special Help Table'!$A786,",","",FIND(" ",'Special Help Table'!$A786)+1))=0),RIGHT('Special Help Table'!$A786,LEN('Special Help Table'!$A786)-FIND(", ",'Special Help Table'!$A786))&amp;" "&amp;LEFT('Special Help Table'!$A786,FIND(",",'Special Help Table'!$A786)-1),AND(LEN('Special Help Table'!$A786)-LEN(SUBSTITUTE('Special Help Table'!$A786,"editor",""))=6,LEN('Special Help Table'!$A786)-LEN(SUBSTITUTE('Special Help Table'!$A786,"(",""))=0,LEN('Special Help Table'!$A786)-LEN(SUBSTITUTE('Special Help Table'!$A786,"and",""))=3,LEN('Special Help Table'!$A786)-LEN(SUBSTITUTE('Special Help Table'!$A786,",",""))=1,LEN('Special Help Table'!$A786)-LEN(SUBSTITUTE('Special Help Table'!$A786," ",""))=3),'Special Help Table'!$A786)</f>
        <v xml:space="preserve"> Paul White</v>
      </c>
      <c r="C786" s="4" t="s">
        <v>1441</v>
      </c>
      <c r="D786" s="2" t="s">
        <v>1437</v>
      </c>
      <c r="E786" s="2" t="s">
        <v>16</v>
      </c>
      <c r="F786" s="2" t="s">
        <v>72</v>
      </c>
      <c r="G786" s="2"/>
      <c r="H786" s="2"/>
      <c r="I786" s="2"/>
      <c r="J786" s="2"/>
      <c r="K786" s="3">
        <v>41804</v>
      </c>
      <c r="L786" s="2"/>
      <c r="M786" s="2"/>
      <c r="N786" s="2" t="s">
        <v>18</v>
      </c>
    </row>
    <row r="787" spans="1:14" ht="15.75" customHeight="1" x14ac:dyDescent="0.35">
      <c r="A787" s="2" t="s">
        <v>1435</v>
      </c>
      <c r="B787" s="2" t="str" cm="1">
        <f t="array" ref="B787">_xlfn.IFS(AND(LEN('Special Help Table'!$A787)-(LEN(SUBSTITUTE('Special Help Table'!$A787,";","")))=0,LEN('Special Help Table'!$A787)-LEN(SUBSTITUTE('Special Help Table'!$A787,",",""))=1,LEN('Special Help Table'!$A787)-LEN(SUBSTITUTE('Special Help Table'!$A787,"and ",""))=0),MID('Special Help Table'!$A787&amp;" "&amp;'Special Help Table'!$A787,SEARCH(", ",'Special Help Table'!$A787)+1,LEN('Special Help Table'!$A787)),AND(LEN('Special Help Table'!$A787)-(LEN(SUBSTITUTE('Special Help Table'!$A787,";","")))=1,LEN('Special Help Table'!$A787)-LEN(SUBSTITUTE('Special Help Table'!$A787,"and ",""))=0),MID('Special Help Table'!$A787,SEARCH(",",'Special Help Table'!$A787)+1,(SEARCH(";",'Special Help Table'!$A787)-1)-SEARCH(",",'Special Help Table'!$A787))&amp;" "&amp;LEFT('Special Help Table'!$A787,SEARCH(",",'Special Help Table'!$A787)-1)&amp;";"&amp;RIGHT('Special Help Table'!$A787,LEN('Special Help Table'!$A787)-SEARCH(",",'Special Help Table'!$A787,SEARCH(";",'Special Help Table'!$A787)))&amp;" "&amp;MID('Special Help Table'!$A787,SEARCH("; ",'Special Help Table'!$A787)+2,SEARCH(",",'Special Help Table'!$A787,SEARCH(";",'Special Help Table'!$A787))-SEARCH(";",'Special Help Table'!$A787)-2),AND(LEN('Special Help Table'!$A787)-LEN(SUBSTITUTE('Special Help Table'!$A787,"and ",""))=0,LEN('Special Help Table'!$A787)-LEN(SUBSTITUTE('Special Help Table'!$A787,";",""))=0),'Special Help Table'!$A787,AND(LEN('Special Help Table'!$A787)-LEN(SUBSTITUTE('Special Help Table'!$A787,",","")=1),LEN('Special Help Table'!$A787)-LEN(SUBSTITUTE('Special Help Table'!$A787," ","")=20),LEN('Special Help Table'!$A787)-LEN(SUBSTITUTE('Special Help Table'!$A787," and",""))=0,LEN('Special Help Table'!$A787)-LEN(SUBSTITUTE('Special Help Table'!$A787,",","",FIND(" ",'Special Help Table'!$A787)+1))=0),RIGHT('Special Help Table'!$A787,LEN('Special Help Table'!$A787)-FIND(", ",'Special Help Table'!$A787))&amp;" "&amp;LEFT('Special Help Table'!$A787,FIND(",",'Special Help Table'!$A787)-1),AND(LEN('Special Help Table'!$A787)-LEN(SUBSTITUTE('Special Help Table'!$A787,"editor",""))=6,LEN('Special Help Table'!$A787)-LEN(SUBSTITUTE('Special Help Table'!$A787,"(",""))=0,LEN('Special Help Table'!$A787)-LEN(SUBSTITUTE('Special Help Table'!$A787,"and",""))=3,LEN('Special Help Table'!$A787)-LEN(SUBSTITUTE('Special Help Table'!$A787,",",""))=1,LEN('Special Help Table'!$A787)-LEN(SUBSTITUTE('Special Help Table'!$A787," ",""))=3),'Special Help Table'!$A787)</f>
        <v xml:space="preserve"> Paul White</v>
      </c>
      <c r="C787" s="4" t="s">
        <v>1442</v>
      </c>
      <c r="D787" s="2" t="s">
        <v>1437</v>
      </c>
      <c r="E787" s="2" t="s">
        <v>16</v>
      </c>
      <c r="F787" s="2" t="s">
        <v>72</v>
      </c>
      <c r="G787" s="2"/>
      <c r="H787" s="2"/>
      <c r="I787" s="2"/>
      <c r="J787" s="2"/>
      <c r="K787" s="3">
        <v>41804</v>
      </c>
      <c r="L787" s="2"/>
      <c r="M787" s="2"/>
      <c r="N787" s="2" t="s">
        <v>18</v>
      </c>
    </row>
    <row r="788" spans="1:14" ht="15.75" customHeight="1" x14ac:dyDescent="0.35">
      <c r="A788" s="2" t="s">
        <v>1443</v>
      </c>
      <c r="B788" s="2" t="str" cm="1">
        <f t="array" ref="B788">_xlfn.IFS(AND(LEN('Special Help Table'!$A788)-(LEN(SUBSTITUTE('Special Help Table'!$A788,";","")))=0,LEN('Special Help Table'!$A788)-LEN(SUBSTITUTE('Special Help Table'!$A788,",",""))=1,LEN('Special Help Table'!$A788)-LEN(SUBSTITUTE('Special Help Table'!$A788,"and ",""))=0),MID('Special Help Table'!$A788&amp;" "&amp;'Special Help Table'!$A788,SEARCH(", ",'Special Help Table'!$A788)+1,LEN('Special Help Table'!$A788)),AND(LEN('Special Help Table'!$A788)-(LEN(SUBSTITUTE('Special Help Table'!$A788,";","")))=1,LEN('Special Help Table'!$A788)-LEN(SUBSTITUTE('Special Help Table'!$A788,"and ",""))=0),MID('Special Help Table'!$A788,SEARCH(",",'Special Help Table'!$A788)+1,(SEARCH(";",'Special Help Table'!$A788)-1)-SEARCH(",",'Special Help Table'!$A788))&amp;" "&amp;LEFT('Special Help Table'!$A788,SEARCH(",",'Special Help Table'!$A788)-1)&amp;";"&amp;RIGHT('Special Help Table'!$A788,LEN('Special Help Table'!$A788)-SEARCH(",",'Special Help Table'!$A788,SEARCH(";",'Special Help Table'!$A788)))&amp;" "&amp;MID('Special Help Table'!$A788,SEARCH("; ",'Special Help Table'!$A788)+2,SEARCH(",",'Special Help Table'!$A788,SEARCH(";",'Special Help Table'!$A788))-SEARCH(";",'Special Help Table'!$A788)-2),AND(LEN('Special Help Table'!$A788)-LEN(SUBSTITUTE('Special Help Table'!$A788,"and ",""))=0,LEN('Special Help Table'!$A788)-LEN(SUBSTITUTE('Special Help Table'!$A788,";",""))=0),'Special Help Table'!$A788,AND(LEN('Special Help Table'!$A788)-LEN(SUBSTITUTE('Special Help Table'!$A788,",","")=1),LEN('Special Help Table'!$A788)-LEN(SUBSTITUTE('Special Help Table'!$A788," ","")=20),LEN('Special Help Table'!$A788)-LEN(SUBSTITUTE('Special Help Table'!$A788," and",""))=0,LEN('Special Help Table'!$A788)-LEN(SUBSTITUTE('Special Help Table'!$A788,",","",FIND(" ",'Special Help Table'!$A788)+1))=0),RIGHT('Special Help Table'!$A788,LEN('Special Help Table'!$A788)-FIND(", ",'Special Help Table'!$A788))&amp;" "&amp;LEFT('Special Help Table'!$A788,FIND(",",'Special Help Table'!$A788)-1),AND(LEN('Special Help Table'!$A788)-LEN(SUBSTITUTE('Special Help Table'!$A788,"editor",""))=6,LEN('Special Help Table'!$A788)-LEN(SUBSTITUTE('Special Help Table'!$A788,"(",""))=0,LEN('Special Help Table'!$A788)-LEN(SUBSTITUTE('Special Help Table'!$A788,"and",""))=3,LEN('Special Help Table'!$A788)-LEN(SUBSTITUTE('Special Help Table'!$A788,",",""))=1,LEN('Special Help Table'!$A788)-LEN(SUBSTITUTE('Special Help Table'!$A788," ",""))=3),'Special Help Table'!$A788)</f>
        <v xml:space="preserve"> Lauren Whitman</v>
      </c>
      <c r="C788" s="4" t="s">
        <v>1444</v>
      </c>
      <c r="D788" s="2" t="s">
        <v>1445</v>
      </c>
      <c r="E788" s="2" t="s">
        <v>16</v>
      </c>
      <c r="F788" s="2" t="s">
        <v>17</v>
      </c>
      <c r="G788" s="2"/>
      <c r="H788" s="2" t="s">
        <v>401</v>
      </c>
      <c r="I788" s="2"/>
      <c r="J788" s="2" t="s">
        <v>1446</v>
      </c>
      <c r="K788" s="3">
        <v>44178</v>
      </c>
      <c r="L788" s="2"/>
      <c r="M788" s="2"/>
      <c r="N788" s="2" t="s">
        <v>18</v>
      </c>
    </row>
    <row r="789" spans="1:14" ht="15.75" customHeight="1" x14ac:dyDescent="0.35">
      <c r="A789" s="2" t="s">
        <v>1447</v>
      </c>
      <c r="B789" s="2" t="str" cm="1">
        <f t="array" ref="B789">_xlfn.IFS(AND(LEN('Special Help Table'!$A789)-(LEN(SUBSTITUTE('Special Help Table'!$A789,";","")))=0,LEN('Special Help Table'!$A789)-LEN(SUBSTITUTE('Special Help Table'!$A789,",",""))=1,LEN('Special Help Table'!$A789)-LEN(SUBSTITUTE('Special Help Table'!$A789,"and ",""))=0),MID('Special Help Table'!$A789&amp;" "&amp;'Special Help Table'!$A789,SEARCH(", ",'Special Help Table'!$A789)+1,LEN('Special Help Table'!$A789)),AND(LEN('Special Help Table'!$A789)-(LEN(SUBSTITUTE('Special Help Table'!$A789,";","")))=1,LEN('Special Help Table'!$A789)-LEN(SUBSTITUTE('Special Help Table'!$A789,"and ",""))=0),MID('Special Help Table'!$A789,SEARCH(",",'Special Help Table'!$A789)+1,(SEARCH(";",'Special Help Table'!$A789)-1)-SEARCH(",",'Special Help Table'!$A789))&amp;" "&amp;LEFT('Special Help Table'!$A789,SEARCH(",",'Special Help Table'!$A789)-1)&amp;";"&amp;RIGHT('Special Help Table'!$A789,LEN('Special Help Table'!$A789)-SEARCH(",",'Special Help Table'!$A789,SEARCH(";",'Special Help Table'!$A789)))&amp;" "&amp;MID('Special Help Table'!$A789,SEARCH("; ",'Special Help Table'!$A789)+2,SEARCH(",",'Special Help Table'!$A789,SEARCH(";",'Special Help Table'!$A789))-SEARCH(";",'Special Help Table'!$A789)-2),AND(LEN('Special Help Table'!$A789)-LEN(SUBSTITUTE('Special Help Table'!$A789,"and ",""))=0,LEN('Special Help Table'!$A789)-LEN(SUBSTITUTE('Special Help Table'!$A789,";",""))=0),'Special Help Table'!$A789,AND(LEN('Special Help Table'!$A789)-LEN(SUBSTITUTE('Special Help Table'!$A789,",","")=1),LEN('Special Help Table'!$A789)-LEN(SUBSTITUTE('Special Help Table'!$A789," ","")=20),LEN('Special Help Table'!$A789)-LEN(SUBSTITUTE('Special Help Table'!$A789," and",""))=0,LEN('Special Help Table'!$A789)-LEN(SUBSTITUTE('Special Help Table'!$A789,",","",FIND(" ",'Special Help Table'!$A789)+1))=0),RIGHT('Special Help Table'!$A789,LEN('Special Help Table'!$A789)-FIND(", ",'Special Help Table'!$A789))&amp;" "&amp;LEFT('Special Help Table'!$A789,FIND(",",'Special Help Table'!$A789)-1),AND(LEN('Special Help Table'!$A789)-LEN(SUBSTITUTE('Special Help Table'!$A789,"editor",""))=6,LEN('Special Help Table'!$A789)-LEN(SUBSTITUTE('Special Help Table'!$A789,"(",""))=0,LEN('Special Help Table'!$A789)-LEN(SUBSTITUTE('Special Help Table'!$A789,"and",""))=3,LEN('Special Help Table'!$A789)-LEN(SUBSTITUTE('Special Help Table'!$A789,",",""))=1,LEN('Special Help Table'!$A789)-LEN(SUBSTITUTE('Special Help Table'!$A789," ",""))=3),'Special Help Table'!$A789)</f>
        <v xml:space="preserve"> Jen Wilken</v>
      </c>
      <c r="C789" s="4" t="s">
        <v>1448</v>
      </c>
      <c r="D789" s="2"/>
      <c r="E789" s="2" t="s">
        <v>16</v>
      </c>
      <c r="F789" s="2" t="s">
        <v>36</v>
      </c>
      <c r="G789" s="2"/>
      <c r="H789" s="2"/>
      <c r="I789" s="2"/>
      <c r="J789" s="2"/>
      <c r="K789" s="3"/>
      <c r="L789" s="2"/>
      <c r="M789" s="2"/>
      <c r="N789" s="2" t="s">
        <v>18</v>
      </c>
    </row>
    <row r="790" spans="1:14" ht="15.75" customHeight="1" x14ac:dyDescent="0.35">
      <c r="A790" s="2" t="s">
        <v>1447</v>
      </c>
      <c r="B790" s="2" t="str" cm="1">
        <f t="array" ref="B790">_xlfn.IFS(AND(LEN('Special Help Table'!$A790)-(LEN(SUBSTITUTE('Special Help Table'!$A790,";","")))=0,LEN('Special Help Table'!$A790)-LEN(SUBSTITUTE('Special Help Table'!$A790,",",""))=1,LEN('Special Help Table'!$A790)-LEN(SUBSTITUTE('Special Help Table'!$A790,"and ",""))=0),MID('Special Help Table'!$A790&amp;" "&amp;'Special Help Table'!$A790,SEARCH(", ",'Special Help Table'!$A790)+1,LEN('Special Help Table'!$A790)),AND(LEN('Special Help Table'!$A790)-(LEN(SUBSTITUTE('Special Help Table'!$A790,";","")))=1,LEN('Special Help Table'!$A790)-LEN(SUBSTITUTE('Special Help Table'!$A790,"and ",""))=0),MID('Special Help Table'!$A790,SEARCH(",",'Special Help Table'!$A790)+1,(SEARCH(";",'Special Help Table'!$A790)-1)-SEARCH(",",'Special Help Table'!$A790))&amp;" "&amp;LEFT('Special Help Table'!$A790,SEARCH(",",'Special Help Table'!$A790)-1)&amp;";"&amp;RIGHT('Special Help Table'!$A790,LEN('Special Help Table'!$A790)-SEARCH(",",'Special Help Table'!$A790,SEARCH(";",'Special Help Table'!$A790)))&amp;" "&amp;MID('Special Help Table'!$A790,SEARCH("; ",'Special Help Table'!$A790)+2,SEARCH(",",'Special Help Table'!$A790,SEARCH(";",'Special Help Table'!$A790))-SEARCH(";",'Special Help Table'!$A790)-2),AND(LEN('Special Help Table'!$A790)-LEN(SUBSTITUTE('Special Help Table'!$A790,"and ",""))=0,LEN('Special Help Table'!$A790)-LEN(SUBSTITUTE('Special Help Table'!$A790,";",""))=0),'Special Help Table'!$A790,AND(LEN('Special Help Table'!$A790)-LEN(SUBSTITUTE('Special Help Table'!$A790,",","")=1),LEN('Special Help Table'!$A790)-LEN(SUBSTITUTE('Special Help Table'!$A790," ","")=20),LEN('Special Help Table'!$A790)-LEN(SUBSTITUTE('Special Help Table'!$A790," and",""))=0,LEN('Special Help Table'!$A790)-LEN(SUBSTITUTE('Special Help Table'!$A790,",","",FIND(" ",'Special Help Table'!$A790)+1))=0),RIGHT('Special Help Table'!$A790,LEN('Special Help Table'!$A790)-FIND(", ",'Special Help Table'!$A790))&amp;" "&amp;LEFT('Special Help Table'!$A790,FIND(",",'Special Help Table'!$A790)-1),AND(LEN('Special Help Table'!$A790)-LEN(SUBSTITUTE('Special Help Table'!$A790,"editor",""))=6,LEN('Special Help Table'!$A790)-LEN(SUBSTITUTE('Special Help Table'!$A790,"(",""))=0,LEN('Special Help Table'!$A790)-LEN(SUBSTITUTE('Special Help Table'!$A790,"and",""))=3,LEN('Special Help Table'!$A790)-LEN(SUBSTITUTE('Special Help Table'!$A790,",",""))=1,LEN('Special Help Table'!$A790)-LEN(SUBSTITUTE('Special Help Table'!$A790," ",""))=3),'Special Help Table'!$A790)</f>
        <v xml:space="preserve"> Jen Wilken</v>
      </c>
      <c r="C790" s="4" t="s">
        <v>1449</v>
      </c>
      <c r="D790" s="2"/>
      <c r="E790" s="2" t="s">
        <v>16</v>
      </c>
      <c r="F790" s="2" t="s">
        <v>36</v>
      </c>
      <c r="G790" s="2"/>
      <c r="H790" s="2"/>
      <c r="I790" s="2"/>
      <c r="J790" s="2"/>
      <c r="K790" s="3">
        <v>42856</v>
      </c>
      <c r="L790" s="2"/>
      <c r="M790" s="2"/>
      <c r="N790" s="2" t="s">
        <v>18</v>
      </c>
    </row>
    <row r="791" spans="1:14" ht="15.75" customHeight="1" x14ac:dyDescent="0.35">
      <c r="A791" s="2" t="s">
        <v>1450</v>
      </c>
      <c r="B791" s="2" t="str" cm="1">
        <f t="array" ref="B791">_xlfn.IFS(AND(LEN('Special Help Table'!$A791)-(LEN(SUBSTITUTE('Special Help Table'!$A791,";","")))=0,LEN('Special Help Table'!$A791)-LEN(SUBSTITUTE('Special Help Table'!$A791,",",""))=1,LEN('Special Help Table'!$A791)-LEN(SUBSTITUTE('Special Help Table'!$A791,"and ",""))=0),MID('Special Help Table'!$A791&amp;" "&amp;'Special Help Table'!$A791,SEARCH(", ",'Special Help Table'!$A791)+1,LEN('Special Help Table'!$A791)),AND(LEN('Special Help Table'!$A791)-(LEN(SUBSTITUTE('Special Help Table'!$A791,";","")))=1,LEN('Special Help Table'!$A791)-LEN(SUBSTITUTE('Special Help Table'!$A791,"and ",""))=0),MID('Special Help Table'!$A791,SEARCH(",",'Special Help Table'!$A791)+1,(SEARCH(";",'Special Help Table'!$A791)-1)-SEARCH(",",'Special Help Table'!$A791))&amp;" "&amp;LEFT('Special Help Table'!$A791,SEARCH(",",'Special Help Table'!$A791)-1)&amp;";"&amp;RIGHT('Special Help Table'!$A791,LEN('Special Help Table'!$A791)-SEARCH(",",'Special Help Table'!$A791,SEARCH(";",'Special Help Table'!$A791)))&amp;" "&amp;MID('Special Help Table'!$A791,SEARCH("; ",'Special Help Table'!$A791)+2,SEARCH(",",'Special Help Table'!$A791,SEARCH(";",'Special Help Table'!$A791))-SEARCH(";",'Special Help Table'!$A791)-2),AND(LEN('Special Help Table'!$A791)-LEN(SUBSTITUTE('Special Help Table'!$A791,"and ",""))=0,LEN('Special Help Table'!$A791)-LEN(SUBSTITUTE('Special Help Table'!$A791,";",""))=0),'Special Help Table'!$A791,AND(LEN('Special Help Table'!$A791)-LEN(SUBSTITUTE('Special Help Table'!$A791,",","")=1),LEN('Special Help Table'!$A791)-LEN(SUBSTITUTE('Special Help Table'!$A791," ","")=20),LEN('Special Help Table'!$A791)-LEN(SUBSTITUTE('Special Help Table'!$A791," and",""))=0,LEN('Special Help Table'!$A791)-LEN(SUBSTITUTE('Special Help Table'!$A791,",","",FIND(" ",'Special Help Table'!$A791)+1))=0),RIGHT('Special Help Table'!$A791,LEN('Special Help Table'!$A791)-FIND(", ",'Special Help Table'!$A791))&amp;" "&amp;LEFT('Special Help Table'!$A791,FIND(",",'Special Help Table'!$A791)-1),AND(LEN('Special Help Table'!$A791)-LEN(SUBSTITUTE('Special Help Table'!$A791,"editor",""))=6,LEN('Special Help Table'!$A791)-LEN(SUBSTITUTE('Special Help Table'!$A791,"(",""))=0,LEN('Special Help Table'!$A791)-LEN(SUBSTITUTE('Special Help Table'!$A791,"and",""))=3,LEN('Special Help Table'!$A791)-LEN(SUBSTITUTE('Special Help Table'!$A791,",",""))=1,LEN('Special Help Table'!$A791)-LEN(SUBSTITUTE('Special Help Table'!$A791," ",""))=3),'Special Help Table'!$A791)</f>
        <v xml:space="preserve"> Robert Louis Wilken</v>
      </c>
      <c r="C791" s="4" t="s">
        <v>1451</v>
      </c>
      <c r="D791" s="2"/>
      <c r="E791" s="2" t="s">
        <v>16</v>
      </c>
      <c r="F791" s="2" t="s">
        <v>326</v>
      </c>
      <c r="G791" s="2"/>
      <c r="H791" s="2"/>
      <c r="I791" s="2"/>
      <c r="J791" s="2" t="s">
        <v>77</v>
      </c>
      <c r="K791" s="3">
        <v>41530</v>
      </c>
      <c r="L791" s="2"/>
      <c r="M791" s="2"/>
      <c r="N791" s="2" t="s">
        <v>18</v>
      </c>
    </row>
    <row r="792" spans="1:14" ht="15.75" customHeight="1" x14ac:dyDescent="0.35">
      <c r="A792" s="2" t="s">
        <v>1452</v>
      </c>
      <c r="B792" s="2" t="str" cm="1">
        <f t="array" ref="B792">_xlfn.IFS(AND(LEN('Special Help Table'!$A792)-(LEN(SUBSTITUTE('Special Help Table'!$A792,";","")))=0,LEN('Special Help Table'!$A792)-LEN(SUBSTITUTE('Special Help Table'!$A792,",",""))=1,LEN('Special Help Table'!$A792)-LEN(SUBSTITUTE('Special Help Table'!$A792,"and ",""))=0),MID('Special Help Table'!$A792&amp;" "&amp;'Special Help Table'!$A792,SEARCH(", ",'Special Help Table'!$A792)+1,LEN('Special Help Table'!$A792)),AND(LEN('Special Help Table'!$A792)-(LEN(SUBSTITUTE('Special Help Table'!$A792,";","")))=1,LEN('Special Help Table'!$A792)-LEN(SUBSTITUTE('Special Help Table'!$A792,"and ",""))=0),MID('Special Help Table'!$A792,SEARCH(",",'Special Help Table'!$A792)+1,(SEARCH(";",'Special Help Table'!$A792)-1)-SEARCH(",",'Special Help Table'!$A792))&amp;" "&amp;LEFT('Special Help Table'!$A792,SEARCH(",",'Special Help Table'!$A792)-1)&amp;";"&amp;RIGHT('Special Help Table'!$A792,LEN('Special Help Table'!$A792)-SEARCH(",",'Special Help Table'!$A792,SEARCH(";",'Special Help Table'!$A792)))&amp;" "&amp;MID('Special Help Table'!$A792,SEARCH("; ",'Special Help Table'!$A792)+2,SEARCH(",",'Special Help Table'!$A792,SEARCH(";",'Special Help Table'!$A792))-SEARCH(";",'Special Help Table'!$A792)-2),AND(LEN('Special Help Table'!$A792)-LEN(SUBSTITUTE('Special Help Table'!$A792,"and ",""))=0,LEN('Special Help Table'!$A792)-LEN(SUBSTITUTE('Special Help Table'!$A792,";",""))=0),'Special Help Table'!$A792,AND(LEN('Special Help Table'!$A792)-LEN(SUBSTITUTE('Special Help Table'!$A792,",","")=1),LEN('Special Help Table'!$A792)-LEN(SUBSTITUTE('Special Help Table'!$A792," ","")=20),LEN('Special Help Table'!$A792)-LEN(SUBSTITUTE('Special Help Table'!$A792," and",""))=0,LEN('Special Help Table'!$A792)-LEN(SUBSTITUTE('Special Help Table'!$A792,",","",FIND(" ",'Special Help Table'!$A792)+1))=0),RIGHT('Special Help Table'!$A792,LEN('Special Help Table'!$A792)-FIND(", ",'Special Help Table'!$A792))&amp;" "&amp;LEFT('Special Help Table'!$A792,FIND(",",'Special Help Table'!$A792)-1),AND(LEN('Special Help Table'!$A792)-LEN(SUBSTITUTE('Special Help Table'!$A792,"editor",""))=6,LEN('Special Help Table'!$A792)-LEN(SUBSTITUTE('Special Help Table'!$A792,"(",""))=0,LEN('Special Help Table'!$A792)-LEN(SUBSTITUTE('Special Help Table'!$A792,"and",""))=3,LEN('Special Help Table'!$A792)-LEN(SUBSTITUTE('Special Help Table'!$A792,",",""))=1,LEN('Special Help Table'!$A792)-LEN(SUBSTITUTE('Special Help Table'!$A792," ",""))=3),'Special Help Table'!$A792)</f>
        <v xml:space="preserve"> Michael J. Williams</v>
      </c>
      <c r="C792" s="4" t="s">
        <v>1453</v>
      </c>
      <c r="D792" s="2"/>
      <c r="E792" s="2" t="s">
        <v>16</v>
      </c>
      <c r="F792" s="2" t="s">
        <v>76</v>
      </c>
      <c r="G792" s="2"/>
      <c r="H792" s="2"/>
      <c r="I792" s="2"/>
      <c r="J792" s="2"/>
      <c r="K792" s="3">
        <v>43211</v>
      </c>
      <c r="L792" s="2"/>
      <c r="M792" s="2"/>
      <c r="N792" s="2" t="s">
        <v>18</v>
      </c>
    </row>
    <row r="793" spans="1:14" ht="15.75" customHeight="1" x14ac:dyDescent="0.35">
      <c r="A793" s="2" t="s">
        <v>1454</v>
      </c>
      <c r="B793" s="2" t="str" cm="1">
        <f t="array" ref="B793">_xlfn.IFS(AND(LEN('Special Help Table'!$A793)-(LEN(SUBSTITUTE('Special Help Table'!$A793,";","")))=0,LEN('Special Help Table'!$A793)-LEN(SUBSTITUTE('Special Help Table'!$A793,",",""))=1,LEN('Special Help Table'!$A793)-LEN(SUBSTITUTE('Special Help Table'!$A793,"and ",""))=0),MID('Special Help Table'!$A793&amp;" "&amp;'Special Help Table'!$A793,SEARCH(", ",'Special Help Table'!$A793)+1,LEN('Special Help Table'!$A793)),AND(LEN('Special Help Table'!$A793)-(LEN(SUBSTITUTE('Special Help Table'!$A793,";","")))=1,LEN('Special Help Table'!$A793)-LEN(SUBSTITUTE('Special Help Table'!$A793,"and ",""))=0),MID('Special Help Table'!$A793,SEARCH(",",'Special Help Table'!$A793)+1,(SEARCH(";",'Special Help Table'!$A793)-1)-SEARCH(",",'Special Help Table'!$A793))&amp;" "&amp;LEFT('Special Help Table'!$A793,SEARCH(",",'Special Help Table'!$A793)-1)&amp;";"&amp;RIGHT('Special Help Table'!$A793,LEN('Special Help Table'!$A793)-SEARCH(",",'Special Help Table'!$A793,SEARCH(";",'Special Help Table'!$A793)))&amp;" "&amp;MID('Special Help Table'!$A793,SEARCH("; ",'Special Help Table'!$A793)+2,SEARCH(",",'Special Help Table'!$A793,SEARCH(";",'Special Help Table'!$A793))-SEARCH(";",'Special Help Table'!$A793)-2),AND(LEN('Special Help Table'!$A793)-LEN(SUBSTITUTE('Special Help Table'!$A793,"and ",""))=0,LEN('Special Help Table'!$A793)-LEN(SUBSTITUTE('Special Help Table'!$A793,";",""))=0),'Special Help Table'!$A793,AND(LEN('Special Help Table'!$A793)-LEN(SUBSTITUTE('Special Help Table'!$A793,",","")=1),LEN('Special Help Table'!$A793)-LEN(SUBSTITUTE('Special Help Table'!$A793," ","")=20),LEN('Special Help Table'!$A793)-LEN(SUBSTITUTE('Special Help Table'!$A793," and",""))=0,LEN('Special Help Table'!$A793)-LEN(SUBSTITUTE('Special Help Table'!$A793,",","",FIND(" ",'Special Help Table'!$A793)+1))=0),RIGHT('Special Help Table'!$A793,LEN('Special Help Table'!$A793)-FIND(", ",'Special Help Table'!$A793))&amp;" "&amp;LEFT('Special Help Table'!$A793,FIND(",",'Special Help Table'!$A793)-1),AND(LEN('Special Help Table'!$A793)-LEN(SUBSTITUTE('Special Help Table'!$A793,"editor",""))=6,LEN('Special Help Table'!$A793)-LEN(SUBSTITUTE('Special Help Table'!$A793,"(",""))=0,LEN('Special Help Table'!$A793)-LEN(SUBSTITUTE('Special Help Table'!$A793,"and",""))=3,LEN('Special Help Table'!$A793)-LEN(SUBSTITUTE('Special Help Table'!$A793,",",""))=1,LEN('Special Help Table'!$A793)-LEN(SUBSTITUTE('Special Help Table'!$A793," ",""))=3),'Special Help Table'!$A793)</f>
        <v xml:space="preserve"> Thaddeus J. Williams</v>
      </c>
      <c r="C793" s="4" t="s">
        <v>1455</v>
      </c>
      <c r="D793" s="2"/>
      <c r="E793" s="2" t="s">
        <v>16</v>
      </c>
      <c r="F793" s="2" t="s">
        <v>17</v>
      </c>
      <c r="G793" s="2"/>
      <c r="H793" s="2"/>
      <c r="I793" s="2"/>
      <c r="J793" s="2" t="s">
        <v>1456</v>
      </c>
      <c r="K793" s="3">
        <v>44423</v>
      </c>
      <c r="L793" s="2"/>
      <c r="M793" s="2"/>
      <c r="N793" s="2" t="s">
        <v>18</v>
      </c>
    </row>
    <row r="794" spans="1:14" ht="15.75" customHeight="1" x14ac:dyDescent="0.35">
      <c r="A794" s="2" t="s">
        <v>1457</v>
      </c>
      <c r="B794" s="2" t="str" cm="1">
        <f t="array" ref="B794">_xlfn.IFS(AND(LEN('Special Help Table'!$A794)-(LEN(SUBSTITUTE('Special Help Table'!$A794,";","")))=0,LEN('Special Help Table'!$A794)-LEN(SUBSTITUTE('Special Help Table'!$A794,",",""))=1,LEN('Special Help Table'!$A794)-LEN(SUBSTITUTE('Special Help Table'!$A794,"and ",""))=0),MID('Special Help Table'!$A794&amp;" "&amp;'Special Help Table'!$A794,SEARCH(", ",'Special Help Table'!$A794)+1,LEN('Special Help Table'!$A794)),AND(LEN('Special Help Table'!$A794)-(LEN(SUBSTITUTE('Special Help Table'!$A794,";","")))=1,LEN('Special Help Table'!$A794)-LEN(SUBSTITUTE('Special Help Table'!$A794,"and ",""))=0),MID('Special Help Table'!$A794,SEARCH(",",'Special Help Table'!$A794)+1,(SEARCH(";",'Special Help Table'!$A794)-1)-SEARCH(",",'Special Help Table'!$A794))&amp;" "&amp;LEFT('Special Help Table'!$A794,SEARCH(",",'Special Help Table'!$A794)-1)&amp;";"&amp;RIGHT('Special Help Table'!$A794,LEN('Special Help Table'!$A794)-SEARCH(",",'Special Help Table'!$A794,SEARCH(";",'Special Help Table'!$A794)))&amp;" "&amp;MID('Special Help Table'!$A794,SEARCH("; ",'Special Help Table'!$A794)+2,SEARCH(",",'Special Help Table'!$A794,SEARCH(";",'Special Help Table'!$A794))-SEARCH(";",'Special Help Table'!$A794)-2),AND(LEN('Special Help Table'!$A794)-LEN(SUBSTITUTE('Special Help Table'!$A794,"and ",""))=0,LEN('Special Help Table'!$A794)-LEN(SUBSTITUTE('Special Help Table'!$A794,";",""))=0),'Special Help Table'!$A794,AND(LEN('Special Help Table'!$A794)-LEN(SUBSTITUTE('Special Help Table'!$A794,",","")=1),LEN('Special Help Table'!$A794)-LEN(SUBSTITUTE('Special Help Table'!$A794," ","")=20),LEN('Special Help Table'!$A794)-LEN(SUBSTITUTE('Special Help Table'!$A794," and",""))=0,LEN('Special Help Table'!$A794)-LEN(SUBSTITUTE('Special Help Table'!$A794,",","",FIND(" ",'Special Help Table'!$A794)+1))=0),RIGHT('Special Help Table'!$A794,LEN('Special Help Table'!$A794)-FIND(", ",'Special Help Table'!$A794))&amp;" "&amp;LEFT('Special Help Table'!$A794,FIND(",",'Special Help Table'!$A794)-1),AND(LEN('Special Help Table'!$A794)-LEN(SUBSTITUTE('Special Help Table'!$A794,"editor",""))=6,LEN('Special Help Table'!$A794)-LEN(SUBSTITUTE('Special Help Table'!$A794,"(",""))=0,LEN('Special Help Table'!$A794)-LEN(SUBSTITUTE('Special Help Table'!$A794,"and",""))=3,LEN('Special Help Table'!$A794)-LEN(SUBSTITUTE('Special Help Table'!$A794,",",""))=1,LEN('Special Help Table'!$A794)-LEN(SUBSTITUTE('Special Help Table'!$A794," ",""))=3),'Special Help Table'!$A794)</f>
        <v xml:space="preserve"> Denise Williamson</v>
      </c>
      <c r="C794" s="4" t="s">
        <v>1458</v>
      </c>
      <c r="D794" s="2"/>
      <c r="E794" s="2" t="s">
        <v>16</v>
      </c>
      <c r="F794" s="2" t="s">
        <v>72</v>
      </c>
      <c r="G794" s="2"/>
      <c r="H794" s="2"/>
      <c r="I794" s="2"/>
      <c r="J794" s="2"/>
      <c r="K794" s="3">
        <v>41529</v>
      </c>
      <c r="L794" s="2"/>
      <c r="M794" s="2"/>
      <c r="N794" s="2" t="s">
        <v>18</v>
      </c>
    </row>
    <row r="795" spans="1:14" ht="15.75" customHeight="1" x14ac:dyDescent="0.35">
      <c r="A795" s="2" t="s">
        <v>1459</v>
      </c>
      <c r="B795" s="2" t="str" cm="1">
        <f t="array" ref="B795">_xlfn.IFS(AND(LEN('Special Help Table'!$A795)-(LEN(SUBSTITUTE('Special Help Table'!$A795,";","")))=0,LEN('Special Help Table'!$A795)-LEN(SUBSTITUTE('Special Help Table'!$A795,",",""))=1,LEN('Special Help Table'!$A795)-LEN(SUBSTITUTE('Special Help Table'!$A795,"and ",""))=0),MID('Special Help Table'!$A795&amp;" "&amp;'Special Help Table'!$A795,SEARCH(", ",'Special Help Table'!$A795)+1,LEN('Special Help Table'!$A795)),AND(LEN('Special Help Table'!$A795)-(LEN(SUBSTITUTE('Special Help Table'!$A795,";","")))=1,LEN('Special Help Table'!$A795)-LEN(SUBSTITUTE('Special Help Table'!$A795,"and ",""))=0),MID('Special Help Table'!$A795,SEARCH(",",'Special Help Table'!$A795)+1,(SEARCH(";",'Special Help Table'!$A795)-1)-SEARCH(",",'Special Help Table'!$A795))&amp;" "&amp;LEFT('Special Help Table'!$A795,SEARCH(",",'Special Help Table'!$A795)-1)&amp;";"&amp;RIGHT('Special Help Table'!$A795,LEN('Special Help Table'!$A795)-SEARCH(",",'Special Help Table'!$A795,SEARCH(";",'Special Help Table'!$A795)))&amp;" "&amp;MID('Special Help Table'!$A795,SEARCH("; ",'Special Help Table'!$A795)+2,SEARCH(",",'Special Help Table'!$A795,SEARCH(";",'Special Help Table'!$A795))-SEARCH(";",'Special Help Table'!$A795)-2),AND(LEN('Special Help Table'!$A795)-LEN(SUBSTITUTE('Special Help Table'!$A795,"and ",""))=0,LEN('Special Help Table'!$A795)-LEN(SUBSTITUTE('Special Help Table'!$A795,";",""))=0),'Special Help Table'!$A795,AND(LEN('Special Help Table'!$A795)-LEN(SUBSTITUTE('Special Help Table'!$A795,",","")=1),LEN('Special Help Table'!$A795)-LEN(SUBSTITUTE('Special Help Table'!$A795," ","")=20),LEN('Special Help Table'!$A795)-LEN(SUBSTITUTE('Special Help Table'!$A795," and",""))=0,LEN('Special Help Table'!$A795)-LEN(SUBSTITUTE('Special Help Table'!$A795,",","",FIND(" ",'Special Help Table'!$A795)+1))=0),RIGHT('Special Help Table'!$A795,LEN('Special Help Table'!$A795)-FIND(", ",'Special Help Table'!$A795))&amp;" "&amp;LEFT('Special Help Table'!$A795,FIND(",",'Special Help Table'!$A795)-1),AND(LEN('Special Help Table'!$A795)-LEN(SUBSTITUTE('Special Help Table'!$A795,"editor",""))=6,LEN('Special Help Table'!$A795)-LEN(SUBSTITUTE('Special Help Table'!$A795,"(",""))=0,LEN('Special Help Table'!$A795)-LEN(SUBSTITUTE('Special Help Table'!$A795,"and",""))=3,LEN('Special Help Table'!$A795)-LEN(SUBSTITUTE('Special Help Table'!$A795,",",""))=1,LEN('Special Help Table'!$A795)-LEN(SUBSTITUTE('Special Help Table'!$A795," ",""))=3),'Special Help Table'!$A795)</f>
        <v xml:space="preserve"> Brandon G Withrow</v>
      </c>
      <c r="C795" s="4" t="s">
        <v>1460</v>
      </c>
      <c r="D795" s="2"/>
      <c r="E795" s="2" t="s">
        <v>16</v>
      </c>
      <c r="F795" s="2" t="s">
        <v>72</v>
      </c>
      <c r="G795" s="2"/>
      <c r="H795" s="2"/>
      <c r="I795" s="2"/>
      <c r="J795" s="2"/>
      <c r="K795" s="3">
        <v>41773</v>
      </c>
      <c r="L795" s="2"/>
      <c r="M795" s="2"/>
      <c r="N795" s="2" t="s">
        <v>18</v>
      </c>
    </row>
    <row r="796" spans="1:14" ht="15.75" customHeight="1" x14ac:dyDescent="0.35">
      <c r="A796" s="2" t="s">
        <v>1461</v>
      </c>
      <c r="B796" s="2" t="e" cm="1">
        <f t="array" ref="B796">_xlfn.IFS(AND(LEN('Special Help Table'!$A796)-(LEN(SUBSTITUTE('Special Help Table'!$A796,";","")))=0,LEN('Special Help Table'!$A796)-LEN(SUBSTITUTE('Special Help Table'!$A796,",",""))=1,LEN('Special Help Table'!$A796)-LEN(SUBSTITUTE('Special Help Table'!$A796,"and ",""))=0),MID('Special Help Table'!$A796&amp;" "&amp;'Special Help Table'!$A796,SEARCH(", ",'Special Help Table'!$A796)+1,LEN('Special Help Table'!$A796)),AND(LEN('Special Help Table'!$A796)-(LEN(SUBSTITUTE('Special Help Table'!$A796,";","")))=1,LEN('Special Help Table'!$A796)-LEN(SUBSTITUTE('Special Help Table'!$A796,"and ",""))=0),MID('Special Help Table'!$A796,SEARCH(",",'Special Help Table'!$A796)+1,(SEARCH(";",'Special Help Table'!$A796)-1)-SEARCH(",",'Special Help Table'!$A796))&amp;" "&amp;LEFT('Special Help Table'!$A796,SEARCH(",",'Special Help Table'!$A796)-1)&amp;";"&amp;RIGHT('Special Help Table'!$A796,LEN('Special Help Table'!$A796)-SEARCH(",",'Special Help Table'!$A796,SEARCH(";",'Special Help Table'!$A796)))&amp;" "&amp;MID('Special Help Table'!$A796,SEARCH("; ",'Special Help Table'!$A796)+2,SEARCH(",",'Special Help Table'!$A796,SEARCH(";",'Special Help Table'!$A796))-SEARCH(";",'Special Help Table'!$A796)-2),AND(LEN('Special Help Table'!$A796)-LEN(SUBSTITUTE('Special Help Table'!$A796,"and ",""))=0,LEN('Special Help Table'!$A796)-LEN(SUBSTITUTE('Special Help Table'!$A796,";",""))=0),'Special Help Table'!$A796,AND(LEN('Special Help Table'!$A796)-LEN(SUBSTITUTE('Special Help Table'!$A796,",","")=1),LEN('Special Help Table'!$A796)-LEN(SUBSTITUTE('Special Help Table'!$A796," ","")=20),LEN('Special Help Table'!$A796)-LEN(SUBSTITUTE('Special Help Table'!$A796," and",""))=0,LEN('Special Help Table'!$A796)-LEN(SUBSTITUTE('Special Help Table'!$A796,",","",FIND(" ",'Special Help Table'!$A796)+1))=0),RIGHT('Special Help Table'!$A796,LEN('Special Help Table'!$A796)-FIND(", ",'Special Help Table'!$A796))&amp;" "&amp;LEFT('Special Help Table'!$A796,FIND(",",'Special Help Table'!$A796)-1),AND(LEN('Special Help Table'!$A796)-LEN(SUBSTITUTE('Special Help Table'!$A796,"editor",""))=6,LEN('Special Help Table'!$A796)-LEN(SUBSTITUTE('Special Help Table'!$A796,"(",""))=0,LEN('Special Help Table'!$A796)-LEN(SUBSTITUTE('Special Help Table'!$A796,"and",""))=3,LEN('Special Help Table'!$A796)-LEN(SUBSTITUTE('Special Help Table'!$A796,",",""))=1,LEN('Special Help Table'!$A796)-LEN(SUBSTITUTE('Special Help Table'!$A796," ",""))=3),'Special Help Table'!$A796)</f>
        <v>#N/A</v>
      </c>
      <c r="C796" s="4" t="s">
        <v>1462</v>
      </c>
      <c r="D796" s="2" t="s">
        <v>1463</v>
      </c>
      <c r="E796" s="2" t="s">
        <v>16</v>
      </c>
      <c r="F796" s="2" t="s">
        <v>72</v>
      </c>
      <c r="G796" s="2"/>
      <c r="H796" s="2"/>
      <c r="I796" s="2"/>
      <c r="J796" s="2"/>
      <c r="K796" s="3">
        <v>41804</v>
      </c>
      <c r="L796" s="2"/>
      <c r="M796" s="2"/>
      <c r="N796" s="2" t="s">
        <v>18</v>
      </c>
    </row>
    <row r="797" spans="1:14" ht="15.75" customHeight="1" x14ac:dyDescent="0.35">
      <c r="A797" s="2" t="s">
        <v>1461</v>
      </c>
      <c r="B797" s="2" t="e" cm="1">
        <f t="array" ref="B797">_xlfn.IFS(AND(LEN('Special Help Table'!$A797)-(LEN(SUBSTITUTE('Special Help Table'!$A797,";","")))=0,LEN('Special Help Table'!$A797)-LEN(SUBSTITUTE('Special Help Table'!$A797,",",""))=1,LEN('Special Help Table'!$A797)-LEN(SUBSTITUTE('Special Help Table'!$A797,"and ",""))=0),MID('Special Help Table'!$A797&amp;" "&amp;'Special Help Table'!$A797,SEARCH(", ",'Special Help Table'!$A797)+1,LEN('Special Help Table'!$A797)),AND(LEN('Special Help Table'!$A797)-(LEN(SUBSTITUTE('Special Help Table'!$A797,";","")))=1,LEN('Special Help Table'!$A797)-LEN(SUBSTITUTE('Special Help Table'!$A797,"and ",""))=0),MID('Special Help Table'!$A797,SEARCH(",",'Special Help Table'!$A797)+1,(SEARCH(";",'Special Help Table'!$A797)-1)-SEARCH(",",'Special Help Table'!$A797))&amp;" "&amp;LEFT('Special Help Table'!$A797,SEARCH(",",'Special Help Table'!$A797)-1)&amp;";"&amp;RIGHT('Special Help Table'!$A797,LEN('Special Help Table'!$A797)-SEARCH(",",'Special Help Table'!$A797,SEARCH(";",'Special Help Table'!$A797)))&amp;" "&amp;MID('Special Help Table'!$A797,SEARCH("; ",'Special Help Table'!$A797)+2,SEARCH(",",'Special Help Table'!$A797,SEARCH(";",'Special Help Table'!$A797))-SEARCH(";",'Special Help Table'!$A797)-2),AND(LEN('Special Help Table'!$A797)-LEN(SUBSTITUTE('Special Help Table'!$A797,"and ",""))=0,LEN('Special Help Table'!$A797)-LEN(SUBSTITUTE('Special Help Table'!$A797,";",""))=0),'Special Help Table'!$A797,AND(LEN('Special Help Table'!$A797)-LEN(SUBSTITUTE('Special Help Table'!$A797,",","")=1),LEN('Special Help Table'!$A797)-LEN(SUBSTITUTE('Special Help Table'!$A797," ","")=20),LEN('Special Help Table'!$A797)-LEN(SUBSTITUTE('Special Help Table'!$A797," and",""))=0,LEN('Special Help Table'!$A797)-LEN(SUBSTITUTE('Special Help Table'!$A797,",","",FIND(" ",'Special Help Table'!$A797)+1))=0),RIGHT('Special Help Table'!$A797,LEN('Special Help Table'!$A797)-FIND(", ",'Special Help Table'!$A797))&amp;" "&amp;LEFT('Special Help Table'!$A797,FIND(",",'Special Help Table'!$A797)-1),AND(LEN('Special Help Table'!$A797)-LEN(SUBSTITUTE('Special Help Table'!$A797,"editor",""))=6,LEN('Special Help Table'!$A797)-LEN(SUBSTITUTE('Special Help Table'!$A797,"(",""))=0,LEN('Special Help Table'!$A797)-LEN(SUBSTITUTE('Special Help Table'!$A797,"and",""))=3,LEN('Special Help Table'!$A797)-LEN(SUBSTITUTE('Special Help Table'!$A797,",",""))=1,LEN('Special Help Table'!$A797)-LEN(SUBSTITUTE('Special Help Table'!$A797," ",""))=3),'Special Help Table'!$A797)</f>
        <v>#N/A</v>
      </c>
      <c r="C797" s="4" t="s">
        <v>1464</v>
      </c>
      <c r="D797" s="2" t="s">
        <v>1463</v>
      </c>
      <c r="E797" s="2" t="s">
        <v>16</v>
      </c>
      <c r="F797" s="2" t="s">
        <v>72</v>
      </c>
      <c r="G797" s="2"/>
      <c r="H797" s="2"/>
      <c r="I797" s="2"/>
      <c r="J797" s="2"/>
      <c r="K797" s="3">
        <v>41805</v>
      </c>
      <c r="L797" s="2"/>
      <c r="M797" s="2"/>
      <c r="N797" s="2" t="s">
        <v>18</v>
      </c>
    </row>
    <row r="798" spans="1:14" ht="15.75" customHeight="1" x14ac:dyDescent="0.35">
      <c r="A798" s="2" t="s">
        <v>1461</v>
      </c>
      <c r="B798" s="2" t="e" cm="1">
        <f t="array" ref="B798">_xlfn.IFS(AND(LEN('Special Help Table'!$A798)-(LEN(SUBSTITUTE('Special Help Table'!$A798,";","")))=0,LEN('Special Help Table'!$A798)-LEN(SUBSTITUTE('Special Help Table'!$A798,",",""))=1,LEN('Special Help Table'!$A798)-LEN(SUBSTITUTE('Special Help Table'!$A798,"and ",""))=0),MID('Special Help Table'!$A798&amp;" "&amp;'Special Help Table'!$A798,SEARCH(", ",'Special Help Table'!$A798)+1,LEN('Special Help Table'!$A798)),AND(LEN('Special Help Table'!$A798)-(LEN(SUBSTITUTE('Special Help Table'!$A798,";","")))=1,LEN('Special Help Table'!$A798)-LEN(SUBSTITUTE('Special Help Table'!$A798,"and ",""))=0),MID('Special Help Table'!$A798,SEARCH(",",'Special Help Table'!$A798)+1,(SEARCH(";",'Special Help Table'!$A798)-1)-SEARCH(",",'Special Help Table'!$A798))&amp;" "&amp;LEFT('Special Help Table'!$A798,SEARCH(",",'Special Help Table'!$A798)-1)&amp;";"&amp;RIGHT('Special Help Table'!$A798,LEN('Special Help Table'!$A798)-SEARCH(",",'Special Help Table'!$A798,SEARCH(";",'Special Help Table'!$A798)))&amp;" "&amp;MID('Special Help Table'!$A798,SEARCH("; ",'Special Help Table'!$A798)+2,SEARCH(",",'Special Help Table'!$A798,SEARCH(";",'Special Help Table'!$A798))-SEARCH(";",'Special Help Table'!$A798)-2),AND(LEN('Special Help Table'!$A798)-LEN(SUBSTITUTE('Special Help Table'!$A798,"and ",""))=0,LEN('Special Help Table'!$A798)-LEN(SUBSTITUTE('Special Help Table'!$A798,";",""))=0),'Special Help Table'!$A798,AND(LEN('Special Help Table'!$A798)-LEN(SUBSTITUTE('Special Help Table'!$A798,",","")=1),LEN('Special Help Table'!$A798)-LEN(SUBSTITUTE('Special Help Table'!$A798," ","")=20),LEN('Special Help Table'!$A798)-LEN(SUBSTITUTE('Special Help Table'!$A798," and",""))=0,LEN('Special Help Table'!$A798)-LEN(SUBSTITUTE('Special Help Table'!$A798,",","",FIND(" ",'Special Help Table'!$A798)+1))=0),RIGHT('Special Help Table'!$A798,LEN('Special Help Table'!$A798)-FIND(", ",'Special Help Table'!$A798))&amp;" "&amp;LEFT('Special Help Table'!$A798,FIND(",",'Special Help Table'!$A798)-1),AND(LEN('Special Help Table'!$A798)-LEN(SUBSTITUTE('Special Help Table'!$A798,"editor",""))=6,LEN('Special Help Table'!$A798)-LEN(SUBSTITUTE('Special Help Table'!$A798,"(",""))=0,LEN('Special Help Table'!$A798)-LEN(SUBSTITUTE('Special Help Table'!$A798,"and",""))=3,LEN('Special Help Table'!$A798)-LEN(SUBSTITUTE('Special Help Table'!$A798,",",""))=1,LEN('Special Help Table'!$A798)-LEN(SUBSTITUTE('Special Help Table'!$A798," ",""))=3),'Special Help Table'!$A798)</f>
        <v>#N/A</v>
      </c>
      <c r="C798" s="4" t="s">
        <v>1465</v>
      </c>
      <c r="D798" s="2" t="s">
        <v>1463</v>
      </c>
      <c r="E798" s="2" t="s">
        <v>16</v>
      </c>
      <c r="F798" s="2" t="s">
        <v>72</v>
      </c>
      <c r="G798" s="2"/>
      <c r="H798" s="2"/>
      <c r="I798" s="2"/>
      <c r="J798" s="2"/>
      <c r="K798" s="3">
        <v>41806</v>
      </c>
      <c r="L798" s="2"/>
      <c r="M798" s="2"/>
      <c r="N798" s="2" t="s">
        <v>18</v>
      </c>
    </row>
    <row r="799" spans="1:14" ht="15.75" customHeight="1" x14ac:dyDescent="0.35">
      <c r="A799" s="2" t="s">
        <v>1461</v>
      </c>
      <c r="B799" s="2" t="e" cm="1">
        <f t="array" ref="B799">_xlfn.IFS(AND(LEN('Special Help Table'!$A799)-(LEN(SUBSTITUTE('Special Help Table'!$A799,";","")))=0,LEN('Special Help Table'!$A799)-LEN(SUBSTITUTE('Special Help Table'!$A799,",",""))=1,LEN('Special Help Table'!$A799)-LEN(SUBSTITUTE('Special Help Table'!$A799,"and ",""))=0),MID('Special Help Table'!$A799&amp;" "&amp;'Special Help Table'!$A799,SEARCH(", ",'Special Help Table'!$A799)+1,LEN('Special Help Table'!$A799)),AND(LEN('Special Help Table'!$A799)-(LEN(SUBSTITUTE('Special Help Table'!$A799,";","")))=1,LEN('Special Help Table'!$A799)-LEN(SUBSTITUTE('Special Help Table'!$A799,"and ",""))=0),MID('Special Help Table'!$A799,SEARCH(",",'Special Help Table'!$A799)+1,(SEARCH(";",'Special Help Table'!$A799)-1)-SEARCH(",",'Special Help Table'!$A799))&amp;" "&amp;LEFT('Special Help Table'!$A799,SEARCH(",",'Special Help Table'!$A799)-1)&amp;";"&amp;RIGHT('Special Help Table'!$A799,LEN('Special Help Table'!$A799)-SEARCH(",",'Special Help Table'!$A799,SEARCH(";",'Special Help Table'!$A799)))&amp;" "&amp;MID('Special Help Table'!$A799,SEARCH("; ",'Special Help Table'!$A799)+2,SEARCH(",",'Special Help Table'!$A799,SEARCH(";",'Special Help Table'!$A799))-SEARCH(";",'Special Help Table'!$A799)-2),AND(LEN('Special Help Table'!$A799)-LEN(SUBSTITUTE('Special Help Table'!$A799,"and ",""))=0,LEN('Special Help Table'!$A799)-LEN(SUBSTITUTE('Special Help Table'!$A799,";",""))=0),'Special Help Table'!$A799,AND(LEN('Special Help Table'!$A799)-LEN(SUBSTITUTE('Special Help Table'!$A799,",","")=1),LEN('Special Help Table'!$A799)-LEN(SUBSTITUTE('Special Help Table'!$A799," ","")=20),LEN('Special Help Table'!$A799)-LEN(SUBSTITUTE('Special Help Table'!$A799," and",""))=0,LEN('Special Help Table'!$A799)-LEN(SUBSTITUTE('Special Help Table'!$A799,",","",FIND(" ",'Special Help Table'!$A799)+1))=0),RIGHT('Special Help Table'!$A799,LEN('Special Help Table'!$A799)-FIND(", ",'Special Help Table'!$A799))&amp;" "&amp;LEFT('Special Help Table'!$A799,FIND(",",'Special Help Table'!$A799)-1),AND(LEN('Special Help Table'!$A799)-LEN(SUBSTITUTE('Special Help Table'!$A799,"editor",""))=6,LEN('Special Help Table'!$A799)-LEN(SUBSTITUTE('Special Help Table'!$A799,"(",""))=0,LEN('Special Help Table'!$A799)-LEN(SUBSTITUTE('Special Help Table'!$A799,"and",""))=3,LEN('Special Help Table'!$A799)-LEN(SUBSTITUTE('Special Help Table'!$A799,",",""))=1,LEN('Special Help Table'!$A799)-LEN(SUBSTITUTE('Special Help Table'!$A799," ",""))=3),'Special Help Table'!$A799)</f>
        <v>#N/A</v>
      </c>
      <c r="C799" s="4" t="s">
        <v>1466</v>
      </c>
      <c r="D799" s="2" t="s">
        <v>1463</v>
      </c>
      <c r="E799" s="2" t="s">
        <v>16</v>
      </c>
      <c r="F799" s="2" t="s">
        <v>72</v>
      </c>
      <c r="G799" s="2"/>
      <c r="H799" s="2"/>
      <c r="I799" s="2"/>
      <c r="J799" s="2"/>
      <c r="K799" s="3">
        <v>41807</v>
      </c>
      <c r="L799" s="2"/>
      <c r="M799" s="2"/>
      <c r="N799" s="2" t="s">
        <v>18</v>
      </c>
    </row>
    <row r="800" spans="1:14" ht="15.75" customHeight="1" x14ac:dyDescent="0.35">
      <c r="A800" s="2" t="s">
        <v>1461</v>
      </c>
      <c r="B800" s="2" t="e" cm="1">
        <f t="array" ref="B800">_xlfn.IFS(AND(LEN('Special Help Table'!$A800)-(LEN(SUBSTITUTE('Special Help Table'!$A800,";","")))=0,LEN('Special Help Table'!$A800)-LEN(SUBSTITUTE('Special Help Table'!$A800,",",""))=1,LEN('Special Help Table'!$A800)-LEN(SUBSTITUTE('Special Help Table'!$A800,"and ",""))=0),MID('Special Help Table'!$A800&amp;" "&amp;'Special Help Table'!$A800,SEARCH(", ",'Special Help Table'!$A800)+1,LEN('Special Help Table'!$A800)),AND(LEN('Special Help Table'!$A800)-(LEN(SUBSTITUTE('Special Help Table'!$A800,";","")))=1,LEN('Special Help Table'!$A800)-LEN(SUBSTITUTE('Special Help Table'!$A800,"and ",""))=0),MID('Special Help Table'!$A800,SEARCH(",",'Special Help Table'!$A800)+1,(SEARCH(";",'Special Help Table'!$A800)-1)-SEARCH(",",'Special Help Table'!$A800))&amp;" "&amp;LEFT('Special Help Table'!$A800,SEARCH(",",'Special Help Table'!$A800)-1)&amp;";"&amp;RIGHT('Special Help Table'!$A800,LEN('Special Help Table'!$A800)-SEARCH(",",'Special Help Table'!$A800,SEARCH(";",'Special Help Table'!$A800)))&amp;" "&amp;MID('Special Help Table'!$A800,SEARCH("; ",'Special Help Table'!$A800)+2,SEARCH(",",'Special Help Table'!$A800,SEARCH(";",'Special Help Table'!$A800))-SEARCH(";",'Special Help Table'!$A800)-2),AND(LEN('Special Help Table'!$A800)-LEN(SUBSTITUTE('Special Help Table'!$A800,"and ",""))=0,LEN('Special Help Table'!$A800)-LEN(SUBSTITUTE('Special Help Table'!$A800,";",""))=0),'Special Help Table'!$A800,AND(LEN('Special Help Table'!$A800)-LEN(SUBSTITUTE('Special Help Table'!$A800,",","")=1),LEN('Special Help Table'!$A800)-LEN(SUBSTITUTE('Special Help Table'!$A800," ","")=20),LEN('Special Help Table'!$A800)-LEN(SUBSTITUTE('Special Help Table'!$A800," and",""))=0,LEN('Special Help Table'!$A800)-LEN(SUBSTITUTE('Special Help Table'!$A800,",","",FIND(" ",'Special Help Table'!$A800)+1))=0),RIGHT('Special Help Table'!$A800,LEN('Special Help Table'!$A800)-FIND(", ",'Special Help Table'!$A800))&amp;" "&amp;LEFT('Special Help Table'!$A800,FIND(",",'Special Help Table'!$A800)-1),AND(LEN('Special Help Table'!$A800)-LEN(SUBSTITUTE('Special Help Table'!$A800,"editor",""))=6,LEN('Special Help Table'!$A800)-LEN(SUBSTITUTE('Special Help Table'!$A800,"(",""))=0,LEN('Special Help Table'!$A800)-LEN(SUBSTITUTE('Special Help Table'!$A800,"and",""))=3,LEN('Special Help Table'!$A800)-LEN(SUBSTITUTE('Special Help Table'!$A800,",",""))=1,LEN('Special Help Table'!$A800)-LEN(SUBSTITUTE('Special Help Table'!$A800," ",""))=3),'Special Help Table'!$A800)</f>
        <v>#N/A</v>
      </c>
      <c r="C800" s="4" t="s">
        <v>1467</v>
      </c>
      <c r="D800" s="2" t="s">
        <v>1463</v>
      </c>
      <c r="E800" s="2" t="s">
        <v>16</v>
      </c>
      <c r="F800" s="2" t="s">
        <v>72</v>
      </c>
      <c r="G800" s="2"/>
      <c r="H800" s="2"/>
      <c r="I800" s="2"/>
      <c r="J800" s="2"/>
      <c r="K800" s="3">
        <v>41804</v>
      </c>
      <c r="L800" s="2"/>
      <c r="M800" s="2"/>
      <c r="N800" s="2" t="s">
        <v>18</v>
      </c>
    </row>
    <row r="801" spans="1:14" ht="15.75" customHeight="1" x14ac:dyDescent="0.35">
      <c r="A801" s="2" t="s">
        <v>1468</v>
      </c>
      <c r="B801" s="2" t="str" cm="1">
        <f t="array" ref="B801">_xlfn.IFS(AND(LEN('Special Help Table'!$A801)-(LEN(SUBSTITUTE('Special Help Table'!$A801,";","")))=0,LEN('Special Help Table'!$A801)-LEN(SUBSTITUTE('Special Help Table'!$A801,",",""))=1,LEN('Special Help Table'!$A801)-LEN(SUBSTITUTE('Special Help Table'!$A801,"and ",""))=0),MID('Special Help Table'!$A801&amp;" "&amp;'Special Help Table'!$A801,SEARCH(", ",'Special Help Table'!$A801)+1,LEN('Special Help Table'!$A801)),AND(LEN('Special Help Table'!$A801)-(LEN(SUBSTITUTE('Special Help Table'!$A801,";","")))=1,LEN('Special Help Table'!$A801)-LEN(SUBSTITUTE('Special Help Table'!$A801,"and ",""))=0),MID('Special Help Table'!$A801,SEARCH(",",'Special Help Table'!$A801)+1,(SEARCH(";",'Special Help Table'!$A801)-1)-SEARCH(",",'Special Help Table'!$A801))&amp;" "&amp;LEFT('Special Help Table'!$A801,SEARCH(",",'Special Help Table'!$A801)-1)&amp;";"&amp;RIGHT('Special Help Table'!$A801,LEN('Special Help Table'!$A801)-SEARCH(",",'Special Help Table'!$A801,SEARCH(";",'Special Help Table'!$A801)))&amp;" "&amp;MID('Special Help Table'!$A801,SEARCH("; ",'Special Help Table'!$A801)+2,SEARCH(",",'Special Help Table'!$A801,SEARCH(";",'Special Help Table'!$A801))-SEARCH(";",'Special Help Table'!$A801)-2),AND(LEN('Special Help Table'!$A801)-LEN(SUBSTITUTE('Special Help Table'!$A801,"and ",""))=0,LEN('Special Help Table'!$A801)-LEN(SUBSTITUTE('Special Help Table'!$A801,";",""))=0),'Special Help Table'!$A801,AND(LEN('Special Help Table'!$A801)-LEN(SUBSTITUTE('Special Help Table'!$A801,",","")=1),LEN('Special Help Table'!$A801)-LEN(SUBSTITUTE('Special Help Table'!$A801," ","")=20),LEN('Special Help Table'!$A801)-LEN(SUBSTITUTE('Special Help Table'!$A801," and",""))=0,LEN('Special Help Table'!$A801)-LEN(SUBSTITUTE('Special Help Table'!$A801,",","",FIND(" ",'Special Help Table'!$A801)+1))=0),RIGHT('Special Help Table'!$A801,LEN('Special Help Table'!$A801)-FIND(", ",'Special Help Table'!$A801))&amp;" "&amp;LEFT('Special Help Table'!$A801,FIND(",",'Special Help Table'!$A801)-1),AND(LEN('Special Help Table'!$A801)-LEN(SUBSTITUTE('Special Help Table'!$A801,"editor",""))=6,LEN('Special Help Table'!$A801)-LEN(SUBSTITUTE('Special Help Table'!$A801,"(",""))=0,LEN('Special Help Table'!$A801)-LEN(SUBSTITUTE('Special Help Table'!$A801,"and",""))=3,LEN('Special Help Table'!$A801)-LEN(SUBSTITUTE('Special Help Table'!$A801,",",""))=1,LEN('Special Help Table'!$A801)-LEN(SUBSTITUTE('Special Help Table'!$A801," ",""))=3),'Special Help Table'!$A801)</f>
        <v xml:space="preserve"> Timothy Z Witmer</v>
      </c>
      <c r="C801" s="4" t="s">
        <v>1469</v>
      </c>
      <c r="D801" s="2"/>
      <c r="E801" s="2" t="s">
        <v>16</v>
      </c>
      <c r="F801" s="2" t="s">
        <v>36</v>
      </c>
      <c r="G801" s="2"/>
      <c r="H801" s="2"/>
      <c r="I801" s="2"/>
      <c r="J801" s="2" t="s">
        <v>1080</v>
      </c>
      <c r="K801" s="3">
        <v>41287</v>
      </c>
      <c r="L801" s="2" t="s">
        <v>331</v>
      </c>
      <c r="M801" s="2"/>
      <c r="N801" s="2" t="s">
        <v>18</v>
      </c>
    </row>
    <row r="802" spans="1:14" ht="15.75" customHeight="1" x14ac:dyDescent="0.35">
      <c r="A802" s="2" t="s">
        <v>1468</v>
      </c>
      <c r="B802" s="2" t="str" cm="1">
        <f t="array" ref="B802">_xlfn.IFS(AND(LEN('Special Help Table'!$A802)-(LEN(SUBSTITUTE('Special Help Table'!$A802,";","")))=0,LEN('Special Help Table'!$A802)-LEN(SUBSTITUTE('Special Help Table'!$A802,",",""))=1,LEN('Special Help Table'!$A802)-LEN(SUBSTITUTE('Special Help Table'!$A802,"and ",""))=0),MID('Special Help Table'!$A802&amp;" "&amp;'Special Help Table'!$A802,SEARCH(", ",'Special Help Table'!$A802)+1,LEN('Special Help Table'!$A802)),AND(LEN('Special Help Table'!$A802)-(LEN(SUBSTITUTE('Special Help Table'!$A802,";","")))=1,LEN('Special Help Table'!$A802)-LEN(SUBSTITUTE('Special Help Table'!$A802,"and ",""))=0),MID('Special Help Table'!$A802,SEARCH(",",'Special Help Table'!$A802)+1,(SEARCH(";",'Special Help Table'!$A802)-1)-SEARCH(",",'Special Help Table'!$A802))&amp;" "&amp;LEFT('Special Help Table'!$A802,SEARCH(",",'Special Help Table'!$A802)-1)&amp;";"&amp;RIGHT('Special Help Table'!$A802,LEN('Special Help Table'!$A802)-SEARCH(",",'Special Help Table'!$A802,SEARCH(";",'Special Help Table'!$A802)))&amp;" "&amp;MID('Special Help Table'!$A802,SEARCH("; ",'Special Help Table'!$A802)+2,SEARCH(",",'Special Help Table'!$A802,SEARCH(";",'Special Help Table'!$A802))-SEARCH(";",'Special Help Table'!$A802)-2),AND(LEN('Special Help Table'!$A802)-LEN(SUBSTITUTE('Special Help Table'!$A802,"and ",""))=0,LEN('Special Help Table'!$A802)-LEN(SUBSTITUTE('Special Help Table'!$A802,";",""))=0),'Special Help Table'!$A802,AND(LEN('Special Help Table'!$A802)-LEN(SUBSTITUTE('Special Help Table'!$A802,",","")=1),LEN('Special Help Table'!$A802)-LEN(SUBSTITUTE('Special Help Table'!$A802," ","")=20),LEN('Special Help Table'!$A802)-LEN(SUBSTITUTE('Special Help Table'!$A802," and",""))=0,LEN('Special Help Table'!$A802)-LEN(SUBSTITUTE('Special Help Table'!$A802,",","",FIND(" ",'Special Help Table'!$A802)+1))=0),RIGHT('Special Help Table'!$A802,LEN('Special Help Table'!$A802)-FIND(", ",'Special Help Table'!$A802))&amp;" "&amp;LEFT('Special Help Table'!$A802,FIND(",",'Special Help Table'!$A802)-1),AND(LEN('Special Help Table'!$A802)-LEN(SUBSTITUTE('Special Help Table'!$A802,"editor",""))=6,LEN('Special Help Table'!$A802)-LEN(SUBSTITUTE('Special Help Table'!$A802,"(",""))=0,LEN('Special Help Table'!$A802)-LEN(SUBSTITUTE('Special Help Table'!$A802,"and",""))=3,LEN('Special Help Table'!$A802)-LEN(SUBSTITUTE('Special Help Table'!$A802,",",""))=1,LEN('Special Help Table'!$A802)-LEN(SUBSTITUTE('Special Help Table'!$A802," ",""))=3),'Special Help Table'!$A802)</f>
        <v xml:space="preserve"> Timothy Z Witmer</v>
      </c>
      <c r="C802" s="4" t="s">
        <v>1470</v>
      </c>
      <c r="D802" s="2"/>
      <c r="E802" s="2" t="s">
        <v>16</v>
      </c>
      <c r="F802" s="2" t="s">
        <v>33</v>
      </c>
      <c r="G802" s="2"/>
      <c r="H802" s="2"/>
      <c r="I802" s="2"/>
      <c r="J802" s="2" t="s">
        <v>52</v>
      </c>
      <c r="K802" s="3">
        <v>42966</v>
      </c>
      <c r="L802" s="2"/>
      <c r="M802" s="2"/>
      <c r="N802" s="2" t="s">
        <v>18</v>
      </c>
    </row>
    <row r="803" spans="1:14" ht="15.75" customHeight="1" x14ac:dyDescent="0.35">
      <c r="A803" s="2" t="s">
        <v>1471</v>
      </c>
      <c r="B803" s="2" t="str" cm="1">
        <f t="array" ref="B803">_xlfn.IFS(AND(LEN('Special Help Table'!$A803)-(LEN(SUBSTITUTE('Special Help Table'!$A803,";","")))=0,LEN('Special Help Table'!$A803)-LEN(SUBSTITUTE('Special Help Table'!$A803,",",""))=1,LEN('Special Help Table'!$A803)-LEN(SUBSTITUTE('Special Help Table'!$A803,"and ",""))=0),MID('Special Help Table'!$A803&amp;" "&amp;'Special Help Table'!$A803,SEARCH(", ",'Special Help Table'!$A803)+1,LEN('Special Help Table'!$A803)),AND(LEN('Special Help Table'!$A803)-(LEN(SUBSTITUTE('Special Help Table'!$A803,";","")))=1,LEN('Special Help Table'!$A803)-LEN(SUBSTITUTE('Special Help Table'!$A803,"and ",""))=0),MID('Special Help Table'!$A803,SEARCH(",",'Special Help Table'!$A803)+1,(SEARCH(";",'Special Help Table'!$A803)-1)-SEARCH(",",'Special Help Table'!$A803))&amp;" "&amp;LEFT('Special Help Table'!$A803,SEARCH(",",'Special Help Table'!$A803)-1)&amp;";"&amp;RIGHT('Special Help Table'!$A803,LEN('Special Help Table'!$A803)-SEARCH(",",'Special Help Table'!$A803,SEARCH(";",'Special Help Table'!$A803)))&amp;" "&amp;MID('Special Help Table'!$A803,SEARCH("; ",'Special Help Table'!$A803)+2,SEARCH(",",'Special Help Table'!$A803,SEARCH(";",'Special Help Table'!$A803))-SEARCH(";",'Special Help Table'!$A803)-2),AND(LEN('Special Help Table'!$A803)-LEN(SUBSTITUTE('Special Help Table'!$A803,"and ",""))=0,LEN('Special Help Table'!$A803)-LEN(SUBSTITUTE('Special Help Table'!$A803,";",""))=0),'Special Help Table'!$A803,AND(LEN('Special Help Table'!$A803)-LEN(SUBSTITUTE('Special Help Table'!$A803,",","")=1),LEN('Special Help Table'!$A803)-LEN(SUBSTITUTE('Special Help Table'!$A803," ","")=20),LEN('Special Help Table'!$A803)-LEN(SUBSTITUTE('Special Help Table'!$A803," and",""))=0,LEN('Special Help Table'!$A803)-LEN(SUBSTITUTE('Special Help Table'!$A803,",","",FIND(" ",'Special Help Table'!$A803)+1))=0),RIGHT('Special Help Table'!$A803,LEN('Special Help Table'!$A803)-FIND(", ",'Special Help Table'!$A803))&amp;" "&amp;LEFT('Special Help Table'!$A803,FIND(",",'Special Help Table'!$A803)-1),AND(LEN('Special Help Table'!$A803)-LEN(SUBSTITUTE('Special Help Table'!$A803,"editor",""))=6,LEN('Special Help Table'!$A803)-LEN(SUBSTITUTE('Special Help Table'!$A803,"(",""))=0,LEN('Special Help Table'!$A803)-LEN(SUBSTITUTE('Special Help Table'!$A803,"and",""))=3,LEN('Special Help Table'!$A803)-LEN(SUBSTITUTE('Special Help Table'!$A803,",",""))=1,LEN('Special Help Table'!$A803)-LEN(SUBSTITUTE('Special Help Table'!$A803," ",""))=3),'Special Help Table'!$A803)</f>
        <v xml:space="preserve"> Rush Witt</v>
      </c>
      <c r="C803" s="4" t="s">
        <v>1472</v>
      </c>
      <c r="D803" s="2"/>
      <c r="E803" s="2" t="s">
        <v>16</v>
      </c>
      <c r="F803" s="2" t="s">
        <v>36</v>
      </c>
      <c r="G803" s="2"/>
      <c r="H803" s="2"/>
      <c r="I803" s="2"/>
      <c r="J803" s="2" t="s">
        <v>97</v>
      </c>
      <c r="K803" s="3">
        <v>43988</v>
      </c>
      <c r="L803" s="2"/>
      <c r="M803" s="2"/>
      <c r="N803" s="2" t="s">
        <v>18</v>
      </c>
    </row>
    <row r="804" spans="1:14" ht="15.75" customHeight="1" x14ac:dyDescent="0.35">
      <c r="A804" s="2" t="s">
        <v>1473</v>
      </c>
      <c r="B804" s="2" t="str" cm="1">
        <f t="array" ref="B804">_xlfn.IFS(AND(LEN('Special Help Table'!$A804)-(LEN(SUBSTITUTE('Special Help Table'!$A804,";","")))=0,LEN('Special Help Table'!$A804)-LEN(SUBSTITUTE('Special Help Table'!$A804,",",""))=1,LEN('Special Help Table'!$A804)-LEN(SUBSTITUTE('Special Help Table'!$A804,"and ",""))=0),MID('Special Help Table'!$A804&amp;" "&amp;'Special Help Table'!$A804,SEARCH(", ",'Special Help Table'!$A804)+1,LEN('Special Help Table'!$A804)),AND(LEN('Special Help Table'!$A804)-(LEN(SUBSTITUTE('Special Help Table'!$A804,";","")))=1,LEN('Special Help Table'!$A804)-LEN(SUBSTITUTE('Special Help Table'!$A804,"and ",""))=0),MID('Special Help Table'!$A804,SEARCH(",",'Special Help Table'!$A804)+1,(SEARCH(";",'Special Help Table'!$A804)-1)-SEARCH(",",'Special Help Table'!$A804))&amp;" "&amp;LEFT('Special Help Table'!$A804,SEARCH(",",'Special Help Table'!$A804)-1)&amp;";"&amp;RIGHT('Special Help Table'!$A804,LEN('Special Help Table'!$A804)-SEARCH(",",'Special Help Table'!$A804,SEARCH(";",'Special Help Table'!$A804)))&amp;" "&amp;MID('Special Help Table'!$A804,SEARCH("; ",'Special Help Table'!$A804)+2,SEARCH(",",'Special Help Table'!$A804,SEARCH(";",'Special Help Table'!$A804))-SEARCH(";",'Special Help Table'!$A804)-2),AND(LEN('Special Help Table'!$A804)-LEN(SUBSTITUTE('Special Help Table'!$A804,"and ",""))=0,LEN('Special Help Table'!$A804)-LEN(SUBSTITUTE('Special Help Table'!$A804,";",""))=0),'Special Help Table'!$A804,AND(LEN('Special Help Table'!$A804)-LEN(SUBSTITUTE('Special Help Table'!$A804,",","")=1),LEN('Special Help Table'!$A804)-LEN(SUBSTITUTE('Special Help Table'!$A804," ","")=20),LEN('Special Help Table'!$A804)-LEN(SUBSTITUTE('Special Help Table'!$A804," and",""))=0,LEN('Special Help Table'!$A804)-LEN(SUBSTITUTE('Special Help Table'!$A804,",","",FIND(" ",'Special Help Table'!$A804)+1))=0),RIGHT('Special Help Table'!$A804,LEN('Special Help Table'!$A804)-FIND(", ",'Special Help Table'!$A804))&amp;" "&amp;LEFT('Special Help Table'!$A804,FIND(",",'Special Help Table'!$A804)-1),AND(LEN('Special Help Table'!$A804)-LEN(SUBSTITUTE('Special Help Table'!$A804,"editor",""))=6,LEN('Special Help Table'!$A804)-LEN(SUBSTITUTE('Special Help Table'!$A804,"(",""))=0,LEN('Special Help Table'!$A804)-LEN(SUBSTITUTE('Special Help Table'!$A804,"and",""))=3,LEN('Special Help Table'!$A804)-LEN(SUBSTITUTE('Special Help Table'!$A804,",",""))=1,LEN('Special Help Table'!$A804)-LEN(SUBSTITUTE('Special Help Table'!$A804," ",""))=3),'Special Help Table'!$A804)</f>
        <v xml:space="preserve"> Nicholas Wolterstorff</v>
      </c>
      <c r="C804" s="4" t="s">
        <v>1474</v>
      </c>
      <c r="D804" s="2"/>
      <c r="E804" s="2" t="s">
        <v>16</v>
      </c>
      <c r="F804" s="2" t="s">
        <v>17</v>
      </c>
      <c r="G804" s="2"/>
      <c r="H804" s="2"/>
      <c r="I804" s="2"/>
      <c r="J804" s="2" t="s">
        <v>596</v>
      </c>
      <c r="K804" s="3">
        <v>40705</v>
      </c>
      <c r="L804" s="2"/>
      <c r="M804" s="2"/>
      <c r="N804" s="2" t="s">
        <v>18</v>
      </c>
    </row>
    <row r="805" spans="1:14" ht="15.75" customHeight="1" x14ac:dyDescent="0.35">
      <c r="A805" s="2" t="s">
        <v>1475</v>
      </c>
      <c r="B805" s="2" t="str" cm="1">
        <f t="array" ref="B805">_xlfn.IFS(AND(LEN('Special Help Table'!$A805)-(LEN(SUBSTITUTE('Special Help Table'!$A805,";","")))=0,LEN('Special Help Table'!$A805)-LEN(SUBSTITUTE('Special Help Table'!$A805,",",""))=1,LEN('Special Help Table'!$A805)-LEN(SUBSTITUTE('Special Help Table'!$A805,"and ",""))=0),MID('Special Help Table'!$A805&amp;" "&amp;'Special Help Table'!$A805,SEARCH(", ",'Special Help Table'!$A805)+1,LEN('Special Help Table'!$A805)),AND(LEN('Special Help Table'!$A805)-(LEN(SUBSTITUTE('Special Help Table'!$A805,";","")))=1,LEN('Special Help Table'!$A805)-LEN(SUBSTITUTE('Special Help Table'!$A805,"and ",""))=0),MID('Special Help Table'!$A805,SEARCH(",",'Special Help Table'!$A805)+1,(SEARCH(";",'Special Help Table'!$A805)-1)-SEARCH(",",'Special Help Table'!$A805))&amp;" "&amp;LEFT('Special Help Table'!$A805,SEARCH(",",'Special Help Table'!$A805)-1)&amp;";"&amp;RIGHT('Special Help Table'!$A805,LEN('Special Help Table'!$A805)-SEARCH(",",'Special Help Table'!$A805,SEARCH(";",'Special Help Table'!$A805)))&amp;" "&amp;MID('Special Help Table'!$A805,SEARCH("; ",'Special Help Table'!$A805)+2,SEARCH(",",'Special Help Table'!$A805,SEARCH(";",'Special Help Table'!$A805))-SEARCH(";",'Special Help Table'!$A805)-2),AND(LEN('Special Help Table'!$A805)-LEN(SUBSTITUTE('Special Help Table'!$A805,"and ",""))=0,LEN('Special Help Table'!$A805)-LEN(SUBSTITUTE('Special Help Table'!$A805,";",""))=0),'Special Help Table'!$A805,AND(LEN('Special Help Table'!$A805)-LEN(SUBSTITUTE('Special Help Table'!$A805,",","")=1),LEN('Special Help Table'!$A805)-LEN(SUBSTITUTE('Special Help Table'!$A805," ","")=20),LEN('Special Help Table'!$A805)-LEN(SUBSTITUTE('Special Help Table'!$A805," and",""))=0,LEN('Special Help Table'!$A805)-LEN(SUBSTITUTE('Special Help Table'!$A805,",","",FIND(" ",'Special Help Table'!$A805)+1))=0),RIGHT('Special Help Table'!$A805,LEN('Special Help Table'!$A805)-FIND(", ",'Special Help Table'!$A805))&amp;" "&amp;LEFT('Special Help Table'!$A805,FIND(",",'Special Help Table'!$A805)-1),AND(LEN('Special Help Table'!$A805)-LEN(SUBSTITUTE('Special Help Table'!$A805,"editor",""))=6,LEN('Special Help Table'!$A805)-LEN(SUBSTITUTE('Special Help Table'!$A805,"(",""))=0,LEN('Special Help Table'!$A805)-LEN(SUBSTITUTE('Special Help Table'!$A805,"and",""))=3,LEN('Special Help Table'!$A805)-LEN(SUBSTITUTE('Special Help Table'!$A805,",",""))=1,LEN('Special Help Table'!$A805)-LEN(SUBSTITUTE('Special Help Table'!$A805," ",""))=3),'Special Help Table'!$A805)</f>
        <v xml:space="preserve"> Kenman L Wong</v>
      </c>
      <c r="C805" s="4" t="s">
        <v>1476</v>
      </c>
      <c r="D805" s="2" t="s">
        <v>1477</v>
      </c>
      <c r="E805" s="2" t="s">
        <v>16</v>
      </c>
      <c r="F805" s="2" t="s">
        <v>20</v>
      </c>
      <c r="G805" s="2"/>
      <c r="H805" s="2"/>
      <c r="I805" s="2"/>
      <c r="J805" s="2" t="s">
        <v>310</v>
      </c>
      <c r="K805" s="3">
        <v>40827</v>
      </c>
      <c r="L805" s="2"/>
      <c r="M805" s="2"/>
      <c r="N805" s="2" t="s">
        <v>18</v>
      </c>
    </row>
    <row r="806" spans="1:14" ht="15.75" customHeight="1" x14ac:dyDescent="0.35">
      <c r="A806" s="2" t="s">
        <v>1478</v>
      </c>
      <c r="B806" s="2" t="str" cm="1">
        <f t="array" ref="B806">_xlfn.IFS(AND(LEN('Special Help Table'!$A806)-(LEN(SUBSTITUTE('Special Help Table'!$A806,";","")))=0,LEN('Special Help Table'!$A806)-LEN(SUBSTITUTE('Special Help Table'!$A806,",",""))=1,LEN('Special Help Table'!$A806)-LEN(SUBSTITUTE('Special Help Table'!$A806,"and ",""))=0),MID('Special Help Table'!$A806&amp;" "&amp;'Special Help Table'!$A806,SEARCH(", ",'Special Help Table'!$A806)+1,LEN('Special Help Table'!$A806)),AND(LEN('Special Help Table'!$A806)-(LEN(SUBSTITUTE('Special Help Table'!$A806,";","")))=1,LEN('Special Help Table'!$A806)-LEN(SUBSTITUTE('Special Help Table'!$A806,"and ",""))=0),MID('Special Help Table'!$A806,SEARCH(",",'Special Help Table'!$A806)+1,(SEARCH(";",'Special Help Table'!$A806)-1)-SEARCH(",",'Special Help Table'!$A806))&amp;" "&amp;LEFT('Special Help Table'!$A806,SEARCH(",",'Special Help Table'!$A806)-1)&amp;";"&amp;RIGHT('Special Help Table'!$A806,LEN('Special Help Table'!$A806)-SEARCH(",",'Special Help Table'!$A806,SEARCH(";",'Special Help Table'!$A806)))&amp;" "&amp;MID('Special Help Table'!$A806,SEARCH("; ",'Special Help Table'!$A806)+2,SEARCH(",",'Special Help Table'!$A806,SEARCH(";",'Special Help Table'!$A806))-SEARCH(";",'Special Help Table'!$A806)-2),AND(LEN('Special Help Table'!$A806)-LEN(SUBSTITUTE('Special Help Table'!$A806,"and ",""))=0,LEN('Special Help Table'!$A806)-LEN(SUBSTITUTE('Special Help Table'!$A806,";",""))=0),'Special Help Table'!$A806,AND(LEN('Special Help Table'!$A806)-LEN(SUBSTITUTE('Special Help Table'!$A806,",","")=1),LEN('Special Help Table'!$A806)-LEN(SUBSTITUTE('Special Help Table'!$A806," ","")=20),LEN('Special Help Table'!$A806)-LEN(SUBSTITUTE('Special Help Table'!$A806," and",""))=0,LEN('Special Help Table'!$A806)-LEN(SUBSTITUTE('Special Help Table'!$A806,",","",FIND(" ",'Special Help Table'!$A806)+1))=0),RIGHT('Special Help Table'!$A806,LEN('Special Help Table'!$A806)-FIND(", ",'Special Help Table'!$A806))&amp;" "&amp;LEFT('Special Help Table'!$A806,FIND(",",'Special Help Table'!$A806)-1),AND(LEN('Special Help Table'!$A806)-LEN(SUBSTITUTE('Special Help Table'!$A806,"editor",""))=6,LEN('Special Help Table'!$A806)-LEN(SUBSTITUTE('Special Help Table'!$A806,"(",""))=0,LEN('Special Help Table'!$A806)-LEN(SUBSTITUTE('Special Help Table'!$A806,"and",""))=3,LEN('Special Help Table'!$A806)-LEN(SUBSTITUTE('Special Help Table'!$A806,",",""))=1,LEN('Special Help Table'!$A806)-LEN(SUBSTITUTE('Special Help Table'!$A806," ",""))=3),'Special Help Table'!$A806)</f>
        <v xml:space="preserve"> Mrs. J. H. Jr. Worcester</v>
      </c>
      <c r="C806" s="4" t="s">
        <v>1479</v>
      </c>
      <c r="D806" s="2"/>
      <c r="E806" s="2" t="s">
        <v>16</v>
      </c>
      <c r="F806" s="2" t="s">
        <v>39</v>
      </c>
      <c r="G806" s="2"/>
      <c r="H806" s="2"/>
      <c r="I806" s="2"/>
      <c r="J806" s="2" t="s">
        <v>59</v>
      </c>
      <c r="K806" s="3">
        <v>40049</v>
      </c>
      <c r="L806" s="2"/>
      <c r="M806" s="2"/>
      <c r="N806" s="2" t="s">
        <v>18</v>
      </c>
    </row>
    <row r="807" spans="1:14" ht="15.75" customHeight="1" x14ac:dyDescent="0.35">
      <c r="A807" s="2" t="s">
        <v>1480</v>
      </c>
      <c r="B807" s="2" t="str" cm="1">
        <f t="array" ref="B807">_xlfn.IFS(AND(LEN('Special Help Table'!$A807)-(LEN(SUBSTITUTE('Special Help Table'!$A807,";","")))=0,LEN('Special Help Table'!$A807)-LEN(SUBSTITUTE('Special Help Table'!$A807,",",""))=1,LEN('Special Help Table'!$A807)-LEN(SUBSTITUTE('Special Help Table'!$A807,"and ",""))=0),MID('Special Help Table'!$A807&amp;" "&amp;'Special Help Table'!$A807,SEARCH(", ",'Special Help Table'!$A807)+1,LEN('Special Help Table'!$A807)),AND(LEN('Special Help Table'!$A807)-(LEN(SUBSTITUTE('Special Help Table'!$A807,";","")))=1,LEN('Special Help Table'!$A807)-LEN(SUBSTITUTE('Special Help Table'!$A807,"and ",""))=0),MID('Special Help Table'!$A807,SEARCH(",",'Special Help Table'!$A807)+1,(SEARCH(";",'Special Help Table'!$A807)-1)-SEARCH(",",'Special Help Table'!$A807))&amp;" "&amp;LEFT('Special Help Table'!$A807,SEARCH(",",'Special Help Table'!$A807)-1)&amp;";"&amp;RIGHT('Special Help Table'!$A807,LEN('Special Help Table'!$A807)-SEARCH(",",'Special Help Table'!$A807,SEARCH(";",'Special Help Table'!$A807)))&amp;" "&amp;MID('Special Help Table'!$A807,SEARCH("; ",'Special Help Table'!$A807)+2,SEARCH(",",'Special Help Table'!$A807,SEARCH(";",'Special Help Table'!$A807))-SEARCH(";",'Special Help Table'!$A807)-2),AND(LEN('Special Help Table'!$A807)-LEN(SUBSTITUTE('Special Help Table'!$A807,"and ",""))=0,LEN('Special Help Table'!$A807)-LEN(SUBSTITUTE('Special Help Table'!$A807,";",""))=0),'Special Help Table'!$A807,AND(LEN('Special Help Table'!$A807)-LEN(SUBSTITUTE('Special Help Table'!$A807,",","")=1),LEN('Special Help Table'!$A807)-LEN(SUBSTITUTE('Special Help Table'!$A807," ","")=20),LEN('Special Help Table'!$A807)-LEN(SUBSTITUTE('Special Help Table'!$A807," and",""))=0,LEN('Special Help Table'!$A807)-LEN(SUBSTITUTE('Special Help Table'!$A807,",","",FIND(" ",'Special Help Table'!$A807)+1))=0),RIGHT('Special Help Table'!$A807,LEN('Special Help Table'!$A807)-FIND(", ",'Special Help Table'!$A807))&amp;" "&amp;LEFT('Special Help Table'!$A807,FIND(",",'Special Help Table'!$A807)-1),AND(LEN('Special Help Table'!$A807)-LEN(SUBSTITUTE('Special Help Table'!$A807,"editor",""))=6,LEN('Special Help Table'!$A807)-LEN(SUBSTITUTE('Special Help Table'!$A807,"(",""))=0,LEN('Special Help Table'!$A807)-LEN(SUBSTITUTE('Special Help Table'!$A807,"and",""))=3,LEN('Special Help Table'!$A807)-LEN(SUBSTITUTE('Special Help Table'!$A807,",",""))=1,LEN('Special Help Table'!$A807)-LEN(SUBSTITUTE('Special Help Table'!$A807," ",""))=3),'Special Help Table'!$A807)</f>
        <v xml:space="preserve"> Robert W. Yarbrough</v>
      </c>
      <c r="C807" s="4" t="s">
        <v>1481</v>
      </c>
      <c r="D807" s="2" t="s">
        <v>1482</v>
      </c>
      <c r="E807" s="2" t="s">
        <v>16</v>
      </c>
      <c r="F807" s="2" t="s">
        <v>92</v>
      </c>
      <c r="G807" s="2"/>
      <c r="H807" s="2"/>
      <c r="I807" s="2"/>
      <c r="J807" s="2" t="s">
        <v>643</v>
      </c>
      <c r="K807" s="3">
        <v>44688</v>
      </c>
      <c r="L807" s="2"/>
      <c r="M807" s="2"/>
      <c r="N807" s="2" t="s">
        <v>18</v>
      </c>
    </row>
    <row r="808" spans="1:14" ht="15.75" customHeight="1" x14ac:dyDescent="0.35">
      <c r="A808" s="2" t="s">
        <v>1483</v>
      </c>
      <c r="B808" s="2" t="str" cm="1">
        <f t="array" ref="B808">_xlfn.IFS(AND(LEN('Special Help Table'!$A808)-(LEN(SUBSTITUTE('Special Help Table'!$A808,";","")))=0,LEN('Special Help Table'!$A808)-LEN(SUBSTITUTE('Special Help Table'!$A808,",",""))=1,LEN('Special Help Table'!$A808)-LEN(SUBSTITUTE('Special Help Table'!$A808,"and ",""))=0),MID('Special Help Table'!$A808&amp;" "&amp;'Special Help Table'!$A808,SEARCH(", ",'Special Help Table'!$A808)+1,LEN('Special Help Table'!$A808)),AND(LEN('Special Help Table'!$A808)-(LEN(SUBSTITUTE('Special Help Table'!$A808,";","")))=1,LEN('Special Help Table'!$A808)-LEN(SUBSTITUTE('Special Help Table'!$A808,"and ",""))=0),MID('Special Help Table'!$A808,SEARCH(",",'Special Help Table'!$A808)+1,(SEARCH(";",'Special Help Table'!$A808)-1)-SEARCH(",",'Special Help Table'!$A808))&amp;" "&amp;LEFT('Special Help Table'!$A808,SEARCH(",",'Special Help Table'!$A808)-1)&amp;";"&amp;RIGHT('Special Help Table'!$A808,LEN('Special Help Table'!$A808)-SEARCH(",",'Special Help Table'!$A808,SEARCH(";",'Special Help Table'!$A808)))&amp;" "&amp;MID('Special Help Table'!$A808,SEARCH("; ",'Special Help Table'!$A808)+2,SEARCH(",",'Special Help Table'!$A808,SEARCH(";",'Special Help Table'!$A808))-SEARCH(";",'Special Help Table'!$A808)-2),AND(LEN('Special Help Table'!$A808)-LEN(SUBSTITUTE('Special Help Table'!$A808,"and ",""))=0,LEN('Special Help Table'!$A808)-LEN(SUBSTITUTE('Special Help Table'!$A808,";",""))=0),'Special Help Table'!$A808,AND(LEN('Special Help Table'!$A808)-LEN(SUBSTITUTE('Special Help Table'!$A808,",","")=1),LEN('Special Help Table'!$A808)-LEN(SUBSTITUTE('Special Help Table'!$A808," ","")=20),LEN('Special Help Table'!$A808)-LEN(SUBSTITUTE('Special Help Table'!$A808," and",""))=0,LEN('Special Help Table'!$A808)-LEN(SUBSTITUTE('Special Help Table'!$A808,",","",FIND(" ",'Special Help Table'!$A808)+1))=0),RIGHT('Special Help Table'!$A808,LEN('Special Help Table'!$A808)-FIND(", ",'Special Help Table'!$A808))&amp;" "&amp;LEFT('Special Help Table'!$A808,FIND(",",'Special Help Table'!$A808)-1),AND(LEN('Special Help Table'!$A808)-LEN(SUBSTITUTE('Special Help Table'!$A808,"editor",""))=6,LEN('Special Help Table'!$A808)-LEN(SUBSTITUTE('Special Help Table'!$A808,"(",""))=0,LEN('Special Help Table'!$A808)-LEN(SUBSTITUTE('Special Help Table'!$A808,"and",""))=3,LEN('Special Help Table'!$A808)-LEN(SUBSTITUTE('Special Help Table'!$A808,",",""))=1,LEN('Special Help Table'!$A808)-LEN(SUBSTITUTE('Special Help Table'!$A808," ",""))=3),'Special Help Table'!$A808)</f>
        <v xml:space="preserve"> Elizabeth Yates</v>
      </c>
      <c r="C808" s="4" t="s">
        <v>1484</v>
      </c>
      <c r="D808" s="2"/>
      <c r="E808" s="2" t="s">
        <v>16</v>
      </c>
      <c r="F808" s="2" t="s">
        <v>72</v>
      </c>
      <c r="G808" s="2"/>
      <c r="H808" s="2"/>
      <c r="I808" s="2"/>
      <c r="J808" s="2"/>
      <c r="K808" s="3">
        <v>41287</v>
      </c>
      <c r="L808" s="2"/>
      <c r="M808" s="2"/>
      <c r="N808" s="2" t="s">
        <v>18</v>
      </c>
    </row>
    <row r="809" spans="1:14" ht="15.75" customHeight="1" x14ac:dyDescent="0.35">
      <c r="A809" s="2" t="s">
        <v>1485</v>
      </c>
      <c r="B809" s="2" t="str" cm="1">
        <f t="array" ref="B809">_xlfn.IFS(AND(LEN('Special Help Table'!$A809)-(LEN(SUBSTITUTE('Special Help Table'!$A809,";","")))=0,LEN('Special Help Table'!$A809)-LEN(SUBSTITUTE('Special Help Table'!$A809,",",""))=1,LEN('Special Help Table'!$A809)-LEN(SUBSTITUTE('Special Help Table'!$A809,"and ",""))=0),MID('Special Help Table'!$A809&amp;" "&amp;'Special Help Table'!$A809,SEARCH(", ",'Special Help Table'!$A809)+1,LEN('Special Help Table'!$A809)),AND(LEN('Special Help Table'!$A809)-(LEN(SUBSTITUTE('Special Help Table'!$A809,";","")))=1,LEN('Special Help Table'!$A809)-LEN(SUBSTITUTE('Special Help Table'!$A809,"and ",""))=0),MID('Special Help Table'!$A809,SEARCH(",",'Special Help Table'!$A809)+1,(SEARCH(";",'Special Help Table'!$A809)-1)-SEARCH(",",'Special Help Table'!$A809))&amp;" "&amp;LEFT('Special Help Table'!$A809,SEARCH(",",'Special Help Table'!$A809)-1)&amp;";"&amp;RIGHT('Special Help Table'!$A809,LEN('Special Help Table'!$A809)-SEARCH(",",'Special Help Table'!$A809,SEARCH(";",'Special Help Table'!$A809)))&amp;" "&amp;MID('Special Help Table'!$A809,SEARCH("; ",'Special Help Table'!$A809)+2,SEARCH(",",'Special Help Table'!$A809,SEARCH(";",'Special Help Table'!$A809))-SEARCH(";",'Special Help Table'!$A809)-2),AND(LEN('Special Help Table'!$A809)-LEN(SUBSTITUTE('Special Help Table'!$A809,"and ",""))=0,LEN('Special Help Table'!$A809)-LEN(SUBSTITUTE('Special Help Table'!$A809,";",""))=0),'Special Help Table'!$A809,AND(LEN('Special Help Table'!$A809)-LEN(SUBSTITUTE('Special Help Table'!$A809,",","")=1),LEN('Special Help Table'!$A809)-LEN(SUBSTITUTE('Special Help Table'!$A809," ","")=20),LEN('Special Help Table'!$A809)-LEN(SUBSTITUTE('Special Help Table'!$A809," and",""))=0,LEN('Special Help Table'!$A809)-LEN(SUBSTITUTE('Special Help Table'!$A809,",","",FIND(" ",'Special Help Table'!$A809)+1))=0),RIGHT('Special Help Table'!$A809,LEN('Special Help Table'!$A809)-FIND(", ",'Special Help Table'!$A809))&amp;" "&amp;LEFT('Special Help Table'!$A809,FIND(",",'Special Help Table'!$A809)-1),AND(LEN('Special Help Table'!$A809)-LEN(SUBSTITUTE('Special Help Table'!$A809,"editor",""))=6,LEN('Special Help Table'!$A809)-LEN(SUBSTITUTE('Special Help Table'!$A809,"(",""))=0,LEN('Special Help Table'!$A809)-LEN(SUBSTITUTE('Special Help Table'!$A809,"and",""))=3,LEN('Special Help Table'!$A809)-LEN(SUBSTITUTE('Special Help Table'!$A809,",",""))=1,LEN('Special Help Table'!$A809)-LEN(SUBSTITUTE('Special Help Table'!$A809," ",""))=3),'Special Help Table'!$A809)</f>
        <v xml:space="preserve"> Arnold Ytreeide</v>
      </c>
      <c r="C809" s="4" t="s">
        <v>1486</v>
      </c>
      <c r="D809" s="2"/>
      <c r="E809" s="2" t="s">
        <v>16</v>
      </c>
      <c r="F809" s="2" t="s">
        <v>72</v>
      </c>
      <c r="G809" s="2"/>
      <c r="H809" s="2"/>
      <c r="I809" s="2"/>
      <c r="J809" s="2" t="s">
        <v>1487</v>
      </c>
      <c r="K809" s="3">
        <v>44240</v>
      </c>
      <c r="L809" s="2"/>
      <c r="M809" s="2"/>
      <c r="N809" s="2" t="s">
        <v>18</v>
      </c>
    </row>
    <row r="810" spans="1:14" ht="15.75" customHeight="1" x14ac:dyDescent="0.35">
      <c r="A810" s="2" t="s">
        <v>1485</v>
      </c>
      <c r="B810" s="2" t="str" cm="1">
        <f t="array" ref="B810">_xlfn.IFS(AND(LEN('Special Help Table'!$A810)-(LEN(SUBSTITUTE('Special Help Table'!$A810,";","")))=0,LEN('Special Help Table'!$A810)-LEN(SUBSTITUTE('Special Help Table'!$A810,",",""))=1,LEN('Special Help Table'!$A810)-LEN(SUBSTITUTE('Special Help Table'!$A810,"and ",""))=0),MID('Special Help Table'!$A810&amp;" "&amp;'Special Help Table'!$A810,SEARCH(", ",'Special Help Table'!$A810)+1,LEN('Special Help Table'!$A810)),AND(LEN('Special Help Table'!$A810)-(LEN(SUBSTITUTE('Special Help Table'!$A810,";","")))=1,LEN('Special Help Table'!$A810)-LEN(SUBSTITUTE('Special Help Table'!$A810,"and ",""))=0),MID('Special Help Table'!$A810,SEARCH(",",'Special Help Table'!$A810)+1,(SEARCH(";",'Special Help Table'!$A810)-1)-SEARCH(",",'Special Help Table'!$A810))&amp;" "&amp;LEFT('Special Help Table'!$A810,SEARCH(",",'Special Help Table'!$A810)-1)&amp;";"&amp;RIGHT('Special Help Table'!$A810,LEN('Special Help Table'!$A810)-SEARCH(",",'Special Help Table'!$A810,SEARCH(";",'Special Help Table'!$A810)))&amp;" "&amp;MID('Special Help Table'!$A810,SEARCH("; ",'Special Help Table'!$A810)+2,SEARCH(",",'Special Help Table'!$A810,SEARCH(";",'Special Help Table'!$A810))-SEARCH(";",'Special Help Table'!$A810)-2),AND(LEN('Special Help Table'!$A810)-LEN(SUBSTITUTE('Special Help Table'!$A810,"and ",""))=0,LEN('Special Help Table'!$A810)-LEN(SUBSTITUTE('Special Help Table'!$A810,";",""))=0),'Special Help Table'!$A810,AND(LEN('Special Help Table'!$A810)-LEN(SUBSTITUTE('Special Help Table'!$A810,",","")=1),LEN('Special Help Table'!$A810)-LEN(SUBSTITUTE('Special Help Table'!$A810," ","")=20),LEN('Special Help Table'!$A810)-LEN(SUBSTITUTE('Special Help Table'!$A810," and",""))=0,LEN('Special Help Table'!$A810)-LEN(SUBSTITUTE('Special Help Table'!$A810,",","",FIND(" ",'Special Help Table'!$A810)+1))=0),RIGHT('Special Help Table'!$A810,LEN('Special Help Table'!$A810)-FIND(", ",'Special Help Table'!$A810))&amp;" "&amp;LEFT('Special Help Table'!$A810,FIND(",",'Special Help Table'!$A810)-1),AND(LEN('Special Help Table'!$A810)-LEN(SUBSTITUTE('Special Help Table'!$A810,"editor",""))=6,LEN('Special Help Table'!$A810)-LEN(SUBSTITUTE('Special Help Table'!$A810,"(",""))=0,LEN('Special Help Table'!$A810)-LEN(SUBSTITUTE('Special Help Table'!$A810,"and",""))=3,LEN('Special Help Table'!$A810)-LEN(SUBSTITUTE('Special Help Table'!$A810,",",""))=1,LEN('Special Help Table'!$A810)-LEN(SUBSTITUTE('Special Help Table'!$A810," ",""))=3),'Special Help Table'!$A810)</f>
        <v xml:space="preserve"> Arnold Ytreeide</v>
      </c>
      <c r="C810" s="4" t="s">
        <v>1488</v>
      </c>
      <c r="D810" s="2"/>
      <c r="E810" s="2" t="s">
        <v>16</v>
      </c>
      <c r="F810" s="2" t="s">
        <v>72</v>
      </c>
      <c r="G810" s="2"/>
      <c r="H810" s="2"/>
      <c r="I810" s="2"/>
      <c r="J810" s="2" t="s">
        <v>1487</v>
      </c>
      <c r="K810" s="3">
        <v>44240</v>
      </c>
      <c r="L810" s="2"/>
      <c r="M810" s="2"/>
      <c r="N810" s="2" t="s">
        <v>18</v>
      </c>
    </row>
    <row r="811" spans="1:14" ht="15.75" customHeight="1" x14ac:dyDescent="0.35">
      <c r="A811" s="2" t="s">
        <v>1485</v>
      </c>
      <c r="B811" s="2" t="str" cm="1">
        <f t="array" ref="B811">_xlfn.IFS(AND(LEN('Special Help Table'!$A811)-(LEN(SUBSTITUTE('Special Help Table'!$A811,";","")))=0,LEN('Special Help Table'!$A811)-LEN(SUBSTITUTE('Special Help Table'!$A811,",",""))=1,LEN('Special Help Table'!$A811)-LEN(SUBSTITUTE('Special Help Table'!$A811,"and ",""))=0),MID('Special Help Table'!$A811&amp;" "&amp;'Special Help Table'!$A811,SEARCH(", ",'Special Help Table'!$A811)+1,LEN('Special Help Table'!$A811)),AND(LEN('Special Help Table'!$A811)-(LEN(SUBSTITUTE('Special Help Table'!$A811,";","")))=1,LEN('Special Help Table'!$A811)-LEN(SUBSTITUTE('Special Help Table'!$A811,"and ",""))=0),MID('Special Help Table'!$A811,SEARCH(",",'Special Help Table'!$A811)+1,(SEARCH(";",'Special Help Table'!$A811)-1)-SEARCH(",",'Special Help Table'!$A811))&amp;" "&amp;LEFT('Special Help Table'!$A811,SEARCH(",",'Special Help Table'!$A811)-1)&amp;";"&amp;RIGHT('Special Help Table'!$A811,LEN('Special Help Table'!$A811)-SEARCH(",",'Special Help Table'!$A811,SEARCH(";",'Special Help Table'!$A811)))&amp;" "&amp;MID('Special Help Table'!$A811,SEARCH("; ",'Special Help Table'!$A811)+2,SEARCH(",",'Special Help Table'!$A811,SEARCH(";",'Special Help Table'!$A811))-SEARCH(";",'Special Help Table'!$A811)-2),AND(LEN('Special Help Table'!$A811)-LEN(SUBSTITUTE('Special Help Table'!$A811,"and ",""))=0,LEN('Special Help Table'!$A811)-LEN(SUBSTITUTE('Special Help Table'!$A811,";",""))=0),'Special Help Table'!$A811,AND(LEN('Special Help Table'!$A811)-LEN(SUBSTITUTE('Special Help Table'!$A811,",","")=1),LEN('Special Help Table'!$A811)-LEN(SUBSTITUTE('Special Help Table'!$A811," ","")=20),LEN('Special Help Table'!$A811)-LEN(SUBSTITUTE('Special Help Table'!$A811," and",""))=0,LEN('Special Help Table'!$A811)-LEN(SUBSTITUTE('Special Help Table'!$A811,",","",FIND(" ",'Special Help Table'!$A811)+1))=0),RIGHT('Special Help Table'!$A811,LEN('Special Help Table'!$A811)-FIND(", ",'Special Help Table'!$A811))&amp;" "&amp;LEFT('Special Help Table'!$A811,FIND(",",'Special Help Table'!$A811)-1),AND(LEN('Special Help Table'!$A811)-LEN(SUBSTITUTE('Special Help Table'!$A811,"editor",""))=6,LEN('Special Help Table'!$A811)-LEN(SUBSTITUTE('Special Help Table'!$A811,"(",""))=0,LEN('Special Help Table'!$A811)-LEN(SUBSTITUTE('Special Help Table'!$A811,"and",""))=3,LEN('Special Help Table'!$A811)-LEN(SUBSTITUTE('Special Help Table'!$A811,",",""))=1,LEN('Special Help Table'!$A811)-LEN(SUBSTITUTE('Special Help Table'!$A811," ",""))=3),'Special Help Table'!$A811)</f>
        <v xml:space="preserve"> Arnold Ytreeide</v>
      </c>
      <c r="C811" s="4" t="s">
        <v>1489</v>
      </c>
      <c r="D811" s="2"/>
      <c r="E811" s="2" t="s">
        <v>16</v>
      </c>
      <c r="F811" s="2" t="s">
        <v>72</v>
      </c>
      <c r="G811" s="2"/>
      <c r="H811" s="2"/>
      <c r="I811" s="2"/>
      <c r="J811" s="2" t="s">
        <v>1487</v>
      </c>
      <c r="K811" s="3">
        <v>44240</v>
      </c>
      <c r="L811" s="2"/>
      <c r="M811" s="2"/>
      <c r="N811" s="2" t="s">
        <v>18</v>
      </c>
    </row>
    <row r="812" spans="1:14" ht="15.75" customHeight="1" x14ac:dyDescent="0.35">
      <c r="A812" s="2"/>
      <c r="B812" s="2" cm="1">
        <f t="array" ref="B812">_xlfn.IFS(AND(LEN('Special Help Table'!$A812)-(LEN(SUBSTITUTE('Special Help Table'!$A812,";","")))=0,LEN('Special Help Table'!$A812)-LEN(SUBSTITUTE('Special Help Table'!$A812,",",""))=1,LEN('Special Help Table'!$A812)-LEN(SUBSTITUTE('Special Help Table'!$A812,"and ",""))=0),MID('Special Help Table'!$A812&amp;" "&amp;'Special Help Table'!$A812,SEARCH(", ",'Special Help Table'!$A812)+1,LEN('Special Help Table'!$A812)),AND(LEN('Special Help Table'!$A812)-(LEN(SUBSTITUTE('Special Help Table'!$A812,";","")))=1,LEN('Special Help Table'!$A812)-LEN(SUBSTITUTE('Special Help Table'!$A812,"and ",""))=0),MID('Special Help Table'!$A812,SEARCH(",",'Special Help Table'!$A812)+1,(SEARCH(";",'Special Help Table'!$A812)-1)-SEARCH(",",'Special Help Table'!$A812))&amp;" "&amp;LEFT('Special Help Table'!$A812,SEARCH(",",'Special Help Table'!$A812)-1)&amp;";"&amp;RIGHT('Special Help Table'!$A812,LEN('Special Help Table'!$A812)-SEARCH(",",'Special Help Table'!$A812,SEARCH(";",'Special Help Table'!$A812)))&amp;" "&amp;MID('Special Help Table'!$A812,SEARCH("; ",'Special Help Table'!$A812)+2,SEARCH(",",'Special Help Table'!$A812,SEARCH(";",'Special Help Table'!$A812))-SEARCH(";",'Special Help Table'!$A812)-2),AND(LEN('Special Help Table'!$A812)-LEN(SUBSTITUTE('Special Help Table'!$A812,"and ",""))=0,LEN('Special Help Table'!$A812)-LEN(SUBSTITUTE('Special Help Table'!$A812,";",""))=0),'Special Help Table'!$A812,AND(LEN('Special Help Table'!$A812)-LEN(SUBSTITUTE('Special Help Table'!$A812,",","")=1),LEN('Special Help Table'!$A812)-LEN(SUBSTITUTE('Special Help Table'!$A812," ","")=20),LEN('Special Help Table'!$A812)-LEN(SUBSTITUTE('Special Help Table'!$A812," and",""))=0,LEN('Special Help Table'!$A812)-LEN(SUBSTITUTE('Special Help Table'!$A812,",","",FIND(" ",'Special Help Table'!$A812)+1))=0),RIGHT('Special Help Table'!$A812,LEN('Special Help Table'!$A812)-FIND(", ",'Special Help Table'!$A812))&amp;" "&amp;LEFT('Special Help Table'!$A812,FIND(",",'Special Help Table'!$A812)-1),AND(LEN('Special Help Table'!$A812)-LEN(SUBSTITUTE('Special Help Table'!$A812,"editor",""))=6,LEN('Special Help Table'!$A812)-LEN(SUBSTITUTE('Special Help Table'!$A812,"(",""))=0,LEN('Special Help Table'!$A812)-LEN(SUBSTITUTE('Special Help Table'!$A812,"and",""))=3,LEN('Special Help Table'!$A812)-LEN(SUBSTITUTE('Special Help Table'!$A812,",",""))=1,LEN('Special Help Table'!$A812)-LEN(SUBSTITUTE('Special Help Table'!$A812," ",""))=3),'Special Help Table'!$A812)</f>
        <v>0</v>
      </c>
      <c r="C812" s="4" t="s">
        <v>1490</v>
      </c>
      <c r="D812" s="2"/>
      <c r="E812" s="2" t="s">
        <v>1491</v>
      </c>
      <c r="F812" s="2" t="s">
        <v>1492</v>
      </c>
      <c r="G812" s="2"/>
      <c r="H812" s="2"/>
      <c r="I812" s="2"/>
      <c r="J812" s="2"/>
      <c r="K812" s="3">
        <v>43704</v>
      </c>
      <c r="L812" s="2"/>
      <c r="M812" s="2" t="s">
        <v>1493</v>
      </c>
      <c r="N812" s="2" t="s">
        <v>1494</v>
      </c>
    </row>
    <row r="813" spans="1:14" ht="15.75" customHeight="1" x14ac:dyDescent="0.35">
      <c r="A813" s="2"/>
      <c r="B813" s="2" cm="1">
        <f t="array" ref="B813">_xlfn.IFS(AND(LEN('Special Help Table'!$A813)-(LEN(SUBSTITUTE('Special Help Table'!$A813,";","")))=0,LEN('Special Help Table'!$A813)-LEN(SUBSTITUTE('Special Help Table'!$A813,",",""))=1,LEN('Special Help Table'!$A813)-LEN(SUBSTITUTE('Special Help Table'!$A813,"and ",""))=0),MID('Special Help Table'!$A813&amp;" "&amp;'Special Help Table'!$A813,SEARCH(", ",'Special Help Table'!$A813)+1,LEN('Special Help Table'!$A813)),AND(LEN('Special Help Table'!$A813)-(LEN(SUBSTITUTE('Special Help Table'!$A813,";","")))=1,LEN('Special Help Table'!$A813)-LEN(SUBSTITUTE('Special Help Table'!$A813,"and ",""))=0),MID('Special Help Table'!$A813,SEARCH(",",'Special Help Table'!$A813)+1,(SEARCH(";",'Special Help Table'!$A813)-1)-SEARCH(",",'Special Help Table'!$A813))&amp;" "&amp;LEFT('Special Help Table'!$A813,SEARCH(",",'Special Help Table'!$A813)-1)&amp;";"&amp;RIGHT('Special Help Table'!$A813,LEN('Special Help Table'!$A813)-SEARCH(",",'Special Help Table'!$A813,SEARCH(";",'Special Help Table'!$A813)))&amp;" "&amp;MID('Special Help Table'!$A813,SEARCH("; ",'Special Help Table'!$A813)+2,SEARCH(",",'Special Help Table'!$A813,SEARCH(";",'Special Help Table'!$A813))-SEARCH(";",'Special Help Table'!$A813)-2),AND(LEN('Special Help Table'!$A813)-LEN(SUBSTITUTE('Special Help Table'!$A813,"and ",""))=0,LEN('Special Help Table'!$A813)-LEN(SUBSTITUTE('Special Help Table'!$A813,";",""))=0),'Special Help Table'!$A813,AND(LEN('Special Help Table'!$A813)-LEN(SUBSTITUTE('Special Help Table'!$A813,",","")=1),LEN('Special Help Table'!$A813)-LEN(SUBSTITUTE('Special Help Table'!$A813," ","")=20),LEN('Special Help Table'!$A813)-LEN(SUBSTITUTE('Special Help Table'!$A813," and",""))=0,LEN('Special Help Table'!$A813)-LEN(SUBSTITUTE('Special Help Table'!$A813,",","",FIND(" ",'Special Help Table'!$A813)+1))=0),RIGHT('Special Help Table'!$A813,LEN('Special Help Table'!$A813)-FIND(", ",'Special Help Table'!$A813))&amp;" "&amp;LEFT('Special Help Table'!$A813,FIND(",",'Special Help Table'!$A813)-1),AND(LEN('Special Help Table'!$A813)-LEN(SUBSTITUTE('Special Help Table'!$A813,"editor",""))=6,LEN('Special Help Table'!$A813)-LEN(SUBSTITUTE('Special Help Table'!$A813,"(",""))=0,LEN('Special Help Table'!$A813)-LEN(SUBSTITUTE('Special Help Table'!$A813,"and",""))=3,LEN('Special Help Table'!$A813)-LEN(SUBSTITUTE('Special Help Table'!$A813,",",""))=1,LEN('Special Help Table'!$A813)-LEN(SUBSTITUTE('Special Help Table'!$A813," ",""))=3),'Special Help Table'!$A813)</f>
        <v>0</v>
      </c>
      <c r="C813" s="4" t="s">
        <v>1495</v>
      </c>
      <c r="D813" s="2"/>
      <c r="E813" s="2" t="s">
        <v>1491</v>
      </c>
      <c r="F813" s="2" t="s">
        <v>1492</v>
      </c>
      <c r="G813" s="2"/>
      <c r="H813" s="2"/>
      <c r="I813" s="2"/>
      <c r="J813" s="2"/>
      <c r="K813" s="3">
        <v>40644</v>
      </c>
      <c r="L813" s="2"/>
      <c r="M813" s="2" t="s">
        <v>1493</v>
      </c>
      <c r="N813" s="2" t="s">
        <v>1494</v>
      </c>
    </row>
    <row r="814" spans="1:14" ht="15.75" customHeight="1" x14ac:dyDescent="0.35">
      <c r="A814" s="2"/>
      <c r="B814" s="2" cm="1">
        <f t="array" ref="B814">_xlfn.IFS(AND(LEN('Special Help Table'!$A814)-(LEN(SUBSTITUTE('Special Help Table'!$A814,";","")))=0,LEN('Special Help Table'!$A814)-LEN(SUBSTITUTE('Special Help Table'!$A814,",",""))=1,LEN('Special Help Table'!$A814)-LEN(SUBSTITUTE('Special Help Table'!$A814,"and ",""))=0),MID('Special Help Table'!$A814&amp;" "&amp;'Special Help Table'!$A814,SEARCH(", ",'Special Help Table'!$A814)+1,LEN('Special Help Table'!$A814)),AND(LEN('Special Help Table'!$A814)-(LEN(SUBSTITUTE('Special Help Table'!$A814,";","")))=1,LEN('Special Help Table'!$A814)-LEN(SUBSTITUTE('Special Help Table'!$A814,"and ",""))=0),MID('Special Help Table'!$A814,SEARCH(",",'Special Help Table'!$A814)+1,(SEARCH(";",'Special Help Table'!$A814)-1)-SEARCH(",",'Special Help Table'!$A814))&amp;" "&amp;LEFT('Special Help Table'!$A814,SEARCH(",",'Special Help Table'!$A814)-1)&amp;";"&amp;RIGHT('Special Help Table'!$A814,LEN('Special Help Table'!$A814)-SEARCH(",",'Special Help Table'!$A814,SEARCH(";",'Special Help Table'!$A814)))&amp;" "&amp;MID('Special Help Table'!$A814,SEARCH("; ",'Special Help Table'!$A814)+2,SEARCH(",",'Special Help Table'!$A814,SEARCH(";",'Special Help Table'!$A814))-SEARCH(";",'Special Help Table'!$A814)-2),AND(LEN('Special Help Table'!$A814)-LEN(SUBSTITUTE('Special Help Table'!$A814,"and ",""))=0,LEN('Special Help Table'!$A814)-LEN(SUBSTITUTE('Special Help Table'!$A814,";",""))=0),'Special Help Table'!$A814,AND(LEN('Special Help Table'!$A814)-LEN(SUBSTITUTE('Special Help Table'!$A814,",","")=1),LEN('Special Help Table'!$A814)-LEN(SUBSTITUTE('Special Help Table'!$A814," ","")=20),LEN('Special Help Table'!$A814)-LEN(SUBSTITUTE('Special Help Table'!$A814," and",""))=0,LEN('Special Help Table'!$A814)-LEN(SUBSTITUTE('Special Help Table'!$A814,",","",FIND(" ",'Special Help Table'!$A814)+1))=0),RIGHT('Special Help Table'!$A814,LEN('Special Help Table'!$A814)-FIND(", ",'Special Help Table'!$A814))&amp;" "&amp;LEFT('Special Help Table'!$A814,FIND(",",'Special Help Table'!$A814)-1),AND(LEN('Special Help Table'!$A814)-LEN(SUBSTITUTE('Special Help Table'!$A814,"editor",""))=6,LEN('Special Help Table'!$A814)-LEN(SUBSTITUTE('Special Help Table'!$A814,"(",""))=0,LEN('Special Help Table'!$A814)-LEN(SUBSTITUTE('Special Help Table'!$A814,"and",""))=3,LEN('Special Help Table'!$A814)-LEN(SUBSTITUTE('Special Help Table'!$A814,",",""))=1,LEN('Special Help Table'!$A814)-LEN(SUBSTITUTE('Special Help Table'!$A814," ",""))=3),'Special Help Table'!$A814)</f>
        <v>0</v>
      </c>
      <c r="C814" s="4" t="s">
        <v>1496</v>
      </c>
      <c r="D814" s="2"/>
      <c r="E814" s="2" t="s">
        <v>1491</v>
      </c>
      <c r="F814" s="2" t="s">
        <v>1492</v>
      </c>
      <c r="G814" s="2"/>
      <c r="H814" s="2"/>
      <c r="I814" s="2"/>
      <c r="J814" s="2"/>
      <c r="K814" s="3">
        <v>41346</v>
      </c>
      <c r="L814" s="2"/>
      <c r="M814" s="2" t="s">
        <v>1493</v>
      </c>
      <c r="N814" s="2" t="s">
        <v>1494</v>
      </c>
    </row>
    <row r="815" spans="1:14" ht="15.75" customHeight="1" x14ac:dyDescent="0.35">
      <c r="A815" s="2"/>
      <c r="B815" s="2" cm="1">
        <f t="array" ref="B815">_xlfn.IFS(AND(LEN('Special Help Table'!$A815)-(LEN(SUBSTITUTE('Special Help Table'!$A815,";","")))=0,LEN('Special Help Table'!$A815)-LEN(SUBSTITUTE('Special Help Table'!$A815,",",""))=1,LEN('Special Help Table'!$A815)-LEN(SUBSTITUTE('Special Help Table'!$A815,"and ",""))=0),MID('Special Help Table'!$A815&amp;" "&amp;'Special Help Table'!$A815,SEARCH(", ",'Special Help Table'!$A815)+1,LEN('Special Help Table'!$A815)),AND(LEN('Special Help Table'!$A815)-(LEN(SUBSTITUTE('Special Help Table'!$A815,";","")))=1,LEN('Special Help Table'!$A815)-LEN(SUBSTITUTE('Special Help Table'!$A815,"and ",""))=0),MID('Special Help Table'!$A815,SEARCH(",",'Special Help Table'!$A815)+1,(SEARCH(";",'Special Help Table'!$A815)-1)-SEARCH(",",'Special Help Table'!$A815))&amp;" "&amp;LEFT('Special Help Table'!$A815,SEARCH(",",'Special Help Table'!$A815)-1)&amp;";"&amp;RIGHT('Special Help Table'!$A815,LEN('Special Help Table'!$A815)-SEARCH(",",'Special Help Table'!$A815,SEARCH(";",'Special Help Table'!$A815)))&amp;" "&amp;MID('Special Help Table'!$A815,SEARCH("; ",'Special Help Table'!$A815)+2,SEARCH(",",'Special Help Table'!$A815,SEARCH(";",'Special Help Table'!$A815))-SEARCH(";",'Special Help Table'!$A815)-2),AND(LEN('Special Help Table'!$A815)-LEN(SUBSTITUTE('Special Help Table'!$A815,"and ",""))=0,LEN('Special Help Table'!$A815)-LEN(SUBSTITUTE('Special Help Table'!$A815,";",""))=0),'Special Help Table'!$A815,AND(LEN('Special Help Table'!$A815)-LEN(SUBSTITUTE('Special Help Table'!$A815,",","")=1),LEN('Special Help Table'!$A815)-LEN(SUBSTITUTE('Special Help Table'!$A815," ","")=20),LEN('Special Help Table'!$A815)-LEN(SUBSTITUTE('Special Help Table'!$A815," and",""))=0,LEN('Special Help Table'!$A815)-LEN(SUBSTITUTE('Special Help Table'!$A815,",","",FIND(" ",'Special Help Table'!$A815)+1))=0),RIGHT('Special Help Table'!$A815,LEN('Special Help Table'!$A815)-FIND(", ",'Special Help Table'!$A815))&amp;" "&amp;LEFT('Special Help Table'!$A815,FIND(",",'Special Help Table'!$A815)-1),AND(LEN('Special Help Table'!$A815)-LEN(SUBSTITUTE('Special Help Table'!$A815,"editor",""))=6,LEN('Special Help Table'!$A815)-LEN(SUBSTITUTE('Special Help Table'!$A815,"(",""))=0,LEN('Special Help Table'!$A815)-LEN(SUBSTITUTE('Special Help Table'!$A815,"and",""))=3,LEN('Special Help Table'!$A815)-LEN(SUBSTITUTE('Special Help Table'!$A815,",",""))=1,LEN('Special Help Table'!$A815)-LEN(SUBSTITUTE('Special Help Table'!$A815," ",""))=3),'Special Help Table'!$A815)</f>
        <v>0</v>
      </c>
      <c r="C815" s="4" t="s">
        <v>1497</v>
      </c>
      <c r="D815" s="2"/>
      <c r="E815" s="2" t="s">
        <v>1491</v>
      </c>
      <c r="F815" s="2" t="s">
        <v>1492</v>
      </c>
      <c r="G815" s="2"/>
      <c r="H815" s="2"/>
      <c r="I815" s="2"/>
      <c r="J815" s="2"/>
      <c r="K815" s="3">
        <v>42019</v>
      </c>
      <c r="L815" s="2" t="s">
        <v>1498</v>
      </c>
      <c r="M815" s="2" t="s">
        <v>1493</v>
      </c>
      <c r="N815" s="2" t="s">
        <v>1494</v>
      </c>
    </row>
    <row r="816" spans="1:14" ht="15.75" customHeight="1" x14ac:dyDescent="0.35">
      <c r="A816" s="2"/>
      <c r="B816" s="2" cm="1">
        <f t="array" ref="B816">_xlfn.IFS(AND(LEN('Special Help Table'!$A816)-(LEN(SUBSTITUTE('Special Help Table'!$A816,";","")))=0,LEN('Special Help Table'!$A816)-LEN(SUBSTITUTE('Special Help Table'!$A816,",",""))=1,LEN('Special Help Table'!$A816)-LEN(SUBSTITUTE('Special Help Table'!$A816,"and ",""))=0),MID('Special Help Table'!$A816&amp;" "&amp;'Special Help Table'!$A816,SEARCH(", ",'Special Help Table'!$A816)+1,LEN('Special Help Table'!$A816)),AND(LEN('Special Help Table'!$A816)-(LEN(SUBSTITUTE('Special Help Table'!$A816,";","")))=1,LEN('Special Help Table'!$A816)-LEN(SUBSTITUTE('Special Help Table'!$A816,"and ",""))=0),MID('Special Help Table'!$A816,SEARCH(",",'Special Help Table'!$A816)+1,(SEARCH(";",'Special Help Table'!$A816)-1)-SEARCH(",",'Special Help Table'!$A816))&amp;" "&amp;LEFT('Special Help Table'!$A816,SEARCH(",",'Special Help Table'!$A816)-1)&amp;";"&amp;RIGHT('Special Help Table'!$A816,LEN('Special Help Table'!$A816)-SEARCH(",",'Special Help Table'!$A816,SEARCH(";",'Special Help Table'!$A816)))&amp;" "&amp;MID('Special Help Table'!$A816,SEARCH("; ",'Special Help Table'!$A816)+2,SEARCH(",",'Special Help Table'!$A816,SEARCH(";",'Special Help Table'!$A816))-SEARCH(";",'Special Help Table'!$A816)-2),AND(LEN('Special Help Table'!$A816)-LEN(SUBSTITUTE('Special Help Table'!$A816,"and ",""))=0,LEN('Special Help Table'!$A816)-LEN(SUBSTITUTE('Special Help Table'!$A816,";",""))=0),'Special Help Table'!$A816,AND(LEN('Special Help Table'!$A816)-LEN(SUBSTITUTE('Special Help Table'!$A816,",","")=1),LEN('Special Help Table'!$A816)-LEN(SUBSTITUTE('Special Help Table'!$A816," ","")=20),LEN('Special Help Table'!$A816)-LEN(SUBSTITUTE('Special Help Table'!$A816," and",""))=0,LEN('Special Help Table'!$A816)-LEN(SUBSTITUTE('Special Help Table'!$A816,",","",FIND(" ",'Special Help Table'!$A816)+1))=0),RIGHT('Special Help Table'!$A816,LEN('Special Help Table'!$A816)-FIND(", ",'Special Help Table'!$A816))&amp;" "&amp;LEFT('Special Help Table'!$A816,FIND(",",'Special Help Table'!$A816)-1),AND(LEN('Special Help Table'!$A816)-LEN(SUBSTITUTE('Special Help Table'!$A816,"editor",""))=6,LEN('Special Help Table'!$A816)-LEN(SUBSTITUTE('Special Help Table'!$A816,"(",""))=0,LEN('Special Help Table'!$A816)-LEN(SUBSTITUTE('Special Help Table'!$A816,"and",""))=3,LEN('Special Help Table'!$A816)-LEN(SUBSTITUTE('Special Help Table'!$A816,",",""))=1,LEN('Special Help Table'!$A816)-LEN(SUBSTITUTE('Special Help Table'!$A816," ",""))=3),'Special Help Table'!$A816)</f>
        <v>0</v>
      </c>
      <c r="C816" s="4" t="s">
        <v>1499</v>
      </c>
      <c r="D816" s="2"/>
      <c r="E816" s="2" t="s">
        <v>1491</v>
      </c>
      <c r="F816" s="2" t="s">
        <v>1492</v>
      </c>
      <c r="G816" s="2"/>
      <c r="H816" s="2"/>
      <c r="I816" s="2"/>
      <c r="J816" s="2"/>
      <c r="K816" s="3">
        <v>44578</v>
      </c>
      <c r="L816" s="2"/>
      <c r="M816" s="2"/>
      <c r="N816" s="2" t="s">
        <v>1494</v>
      </c>
    </row>
    <row r="817" spans="1:14" ht="15.75" customHeight="1" x14ac:dyDescent="0.35">
      <c r="A817" s="2"/>
      <c r="B817" s="2" cm="1">
        <f t="array" ref="B817">_xlfn.IFS(AND(LEN('Special Help Table'!$A817)-(LEN(SUBSTITUTE('Special Help Table'!$A817,";","")))=0,LEN('Special Help Table'!$A817)-LEN(SUBSTITUTE('Special Help Table'!$A817,",",""))=1,LEN('Special Help Table'!$A817)-LEN(SUBSTITUTE('Special Help Table'!$A817,"and ",""))=0),MID('Special Help Table'!$A817&amp;" "&amp;'Special Help Table'!$A817,SEARCH(", ",'Special Help Table'!$A817)+1,LEN('Special Help Table'!$A817)),AND(LEN('Special Help Table'!$A817)-(LEN(SUBSTITUTE('Special Help Table'!$A817,";","")))=1,LEN('Special Help Table'!$A817)-LEN(SUBSTITUTE('Special Help Table'!$A817,"and ",""))=0),MID('Special Help Table'!$A817,SEARCH(",",'Special Help Table'!$A817)+1,(SEARCH(";",'Special Help Table'!$A817)-1)-SEARCH(",",'Special Help Table'!$A817))&amp;" "&amp;LEFT('Special Help Table'!$A817,SEARCH(",",'Special Help Table'!$A817)-1)&amp;";"&amp;RIGHT('Special Help Table'!$A817,LEN('Special Help Table'!$A817)-SEARCH(",",'Special Help Table'!$A817,SEARCH(";",'Special Help Table'!$A817)))&amp;" "&amp;MID('Special Help Table'!$A817,SEARCH("; ",'Special Help Table'!$A817)+2,SEARCH(",",'Special Help Table'!$A817,SEARCH(";",'Special Help Table'!$A817))-SEARCH(";",'Special Help Table'!$A817)-2),AND(LEN('Special Help Table'!$A817)-LEN(SUBSTITUTE('Special Help Table'!$A817,"and ",""))=0,LEN('Special Help Table'!$A817)-LEN(SUBSTITUTE('Special Help Table'!$A817,";",""))=0),'Special Help Table'!$A817,AND(LEN('Special Help Table'!$A817)-LEN(SUBSTITUTE('Special Help Table'!$A817,",","")=1),LEN('Special Help Table'!$A817)-LEN(SUBSTITUTE('Special Help Table'!$A817," ","")=20),LEN('Special Help Table'!$A817)-LEN(SUBSTITUTE('Special Help Table'!$A817," and",""))=0,LEN('Special Help Table'!$A817)-LEN(SUBSTITUTE('Special Help Table'!$A817,",","",FIND(" ",'Special Help Table'!$A817)+1))=0),RIGHT('Special Help Table'!$A817,LEN('Special Help Table'!$A817)-FIND(", ",'Special Help Table'!$A817))&amp;" "&amp;LEFT('Special Help Table'!$A817,FIND(",",'Special Help Table'!$A817)-1),AND(LEN('Special Help Table'!$A817)-LEN(SUBSTITUTE('Special Help Table'!$A817,"editor",""))=6,LEN('Special Help Table'!$A817)-LEN(SUBSTITUTE('Special Help Table'!$A817,"(",""))=0,LEN('Special Help Table'!$A817)-LEN(SUBSTITUTE('Special Help Table'!$A817,"and",""))=3,LEN('Special Help Table'!$A817)-LEN(SUBSTITUTE('Special Help Table'!$A817,",",""))=1,LEN('Special Help Table'!$A817)-LEN(SUBSTITUTE('Special Help Table'!$A817," ",""))=3),'Special Help Table'!$A817)</f>
        <v>0</v>
      </c>
      <c r="C817" s="4" t="s">
        <v>1500</v>
      </c>
      <c r="D817" s="2"/>
      <c r="E817" s="2" t="s">
        <v>1491</v>
      </c>
      <c r="F817" s="2" t="s">
        <v>1492</v>
      </c>
      <c r="G817" s="2"/>
      <c r="H817" s="2"/>
      <c r="I817" s="2"/>
      <c r="J817" s="2"/>
      <c r="K817" s="3">
        <v>43023</v>
      </c>
      <c r="L817" s="2"/>
      <c r="M817" s="2"/>
      <c r="N817" s="2" t="s">
        <v>1494</v>
      </c>
    </row>
    <row r="818" spans="1:14" ht="15.75" customHeight="1" x14ac:dyDescent="0.35">
      <c r="A818" s="2"/>
      <c r="B818" s="2" cm="1">
        <f t="array" ref="B818">_xlfn.IFS(AND(LEN('Special Help Table'!$A818)-(LEN(SUBSTITUTE('Special Help Table'!$A818,";","")))=0,LEN('Special Help Table'!$A818)-LEN(SUBSTITUTE('Special Help Table'!$A818,",",""))=1,LEN('Special Help Table'!$A818)-LEN(SUBSTITUTE('Special Help Table'!$A818,"and ",""))=0),MID('Special Help Table'!$A818&amp;" "&amp;'Special Help Table'!$A818,SEARCH(", ",'Special Help Table'!$A818)+1,LEN('Special Help Table'!$A818)),AND(LEN('Special Help Table'!$A818)-(LEN(SUBSTITUTE('Special Help Table'!$A818,";","")))=1,LEN('Special Help Table'!$A818)-LEN(SUBSTITUTE('Special Help Table'!$A818,"and ",""))=0),MID('Special Help Table'!$A818,SEARCH(",",'Special Help Table'!$A818)+1,(SEARCH(";",'Special Help Table'!$A818)-1)-SEARCH(",",'Special Help Table'!$A818))&amp;" "&amp;LEFT('Special Help Table'!$A818,SEARCH(",",'Special Help Table'!$A818)-1)&amp;";"&amp;RIGHT('Special Help Table'!$A818,LEN('Special Help Table'!$A818)-SEARCH(",",'Special Help Table'!$A818,SEARCH(";",'Special Help Table'!$A818)))&amp;" "&amp;MID('Special Help Table'!$A818,SEARCH("; ",'Special Help Table'!$A818)+2,SEARCH(",",'Special Help Table'!$A818,SEARCH(";",'Special Help Table'!$A818))-SEARCH(";",'Special Help Table'!$A818)-2),AND(LEN('Special Help Table'!$A818)-LEN(SUBSTITUTE('Special Help Table'!$A818,"and ",""))=0,LEN('Special Help Table'!$A818)-LEN(SUBSTITUTE('Special Help Table'!$A818,";",""))=0),'Special Help Table'!$A818,AND(LEN('Special Help Table'!$A818)-LEN(SUBSTITUTE('Special Help Table'!$A818,",","")=1),LEN('Special Help Table'!$A818)-LEN(SUBSTITUTE('Special Help Table'!$A818," ","")=20),LEN('Special Help Table'!$A818)-LEN(SUBSTITUTE('Special Help Table'!$A818," and",""))=0,LEN('Special Help Table'!$A818)-LEN(SUBSTITUTE('Special Help Table'!$A818,",","",FIND(" ",'Special Help Table'!$A818)+1))=0),RIGHT('Special Help Table'!$A818,LEN('Special Help Table'!$A818)-FIND(", ",'Special Help Table'!$A818))&amp;" "&amp;LEFT('Special Help Table'!$A818,FIND(",",'Special Help Table'!$A818)-1),AND(LEN('Special Help Table'!$A818)-LEN(SUBSTITUTE('Special Help Table'!$A818,"editor",""))=6,LEN('Special Help Table'!$A818)-LEN(SUBSTITUTE('Special Help Table'!$A818,"(",""))=0,LEN('Special Help Table'!$A818)-LEN(SUBSTITUTE('Special Help Table'!$A818,"and",""))=3,LEN('Special Help Table'!$A818)-LEN(SUBSTITUTE('Special Help Table'!$A818,",",""))=1,LEN('Special Help Table'!$A818)-LEN(SUBSTITUTE('Special Help Table'!$A818," ",""))=3),'Special Help Table'!$A818)</f>
        <v>0</v>
      </c>
      <c r="C818" s="4" t="s">
        <v>1501</v>
      </c>
      <c r="D818" s="2"/>
      <c r="E818" s="2" t="s">
        <v>1491</v>
      </c>
      <c r="F818" s="2" t="s">
        <v>1492</v>
      </c>
      <c r="G818" s="2"/>
      <c r="H818" s="2"/>
      <c r="I818" s="2"/>
      <c r="J818" s="2"/>
      <c r="K818" s="3">
        <v>44578</v>
      </c>
      <c r="L818" s="2"/>
      <c r="M818" s="2"/>
      <c r="N818" s="2" t="s">
        <v>1494</v>
      </c>
    </row>
    <row r="819" spans="1:14" ht="15.75" customHeight="1" x14ac:dyDescent="0.35">
      <c r="A819" s="2"/>
      <c r="B819" s="2" cm="1">
        <f t="array" ref="B819">_xlfn.IFS(AND(LEN('Special Help Table'!$A819)-(LEN(SUBSTITUTE('Special Help Table'!$A819,";","")))=0,LEN('Special Help Table'!$A819)-LEN(SUBSTITUTE('Special Help Table'!$A819,",",""))=1,LEN('Special Help Table'!$A819)-LEN(SUBSTITUTE('Special Help Table'!$A819,"and ",""))=0),MID('Special Help Table'!$A819&amp;" "&amp;'Special Help Table'!$A819,SEARCH(", ",'Special Help Table'!$A819)+1,LEN('Special Help Table'!$A819)),AND(LEN('Special Help Table'!$A819)-(LEN(SUBSTITUTE('Special Help Table'!$A819,";","")))=1,LEN('Special Help Table'!$A819)-LEN(SUBSTITUTE('Special Help Table'!$A819,"and ",""))=0),MID('Special Help Table'!$A819,SEARCH(",",'Special Help Table'!$A819)+1,(SEARCH(";",'Special Help Table'!$A819)-1)-SEARCH(",",'Special Help Table'!$A819))&amp;" "&amp;LEFT('Special Help Table'!$A819,SEARCH(",",'Special Help Table'!$A819)-1)&amp;";"&amp;RIGHT('Special Help Table'!$A819,LEN('Special Help Table'!$A819)-SEARCH(",",'Special Help Table'!$A819,SEARCH(";",'Special Help Table'!$A819)))&amp;" "&amp;MID('Special Help Table'!$A819,SEARCH("; ",'Special Help Table'!$A819)+2,SEARCH(",",'Special Help Table'!$A819,SEARCH(";",'Special Help Table'!$A819))-SEARCH(";",'Special Help Table'!$A819)-2),AND(LEN('Special Help Table'!$A819)-LEN(SUBSTITUTE('Special Help Table'!$A819,"and ",""))=0,LEN('Special Help Table'!$A819)-LEN(SUBSTITUTE('Special Help Table'!$A819,";",""))=0),'Special Help Table'!$A819,AND(LEN('Special Help Table'!$A819)-LEN(SUBSTITUTE('Special Help Table'!$A819,",","")=1),LEN('Special Help Table'!$A819)-LEN(SUBSTITUTE('Special Help Table'!$A819," ","")=20),LEN('Special Help Table'!$A819)-LEN(SUBSTITUTE('Special Help Table'!$A819," and",""))=0,LEN('Special Help Table'!$A819)-LEN(SUBSTITUTE('Special Help Table'!$A819,",","",FIND(" ",'Special Help Table'!$A819)+1))=0),RIGHT('Special Help Table'!$A819,LEN('Special Help Table'!$A819)-FIND(", ",'Special Help Table'!$A819))&amp;" "&amp;LEFT('Special Help Table'!$A819,FIND(",",'Special Help Table'!$A819)-1),AND(LEN('Special Help Table'!$A819)-LEN(SUBSTITUTE('Special Help Table'!$A819,"editor",""))=6,LEN('Special Help Table'!$A819)-LEN(SUBSTITUTE('Special Help Table'!$A819,"(",""))=0,LEN('Special Help Table'!$A819)-LEN(SUBSTITUTE('Special Help Table'!$A819,"and",""))=3,LEN('Special Help Table'!$A819)-LEN(SUBSTITUTE('Special Help Table'!$A819,",",""))=1,LEN('Special Help Table'!$A819)-LEN(SUBSTITUTE('Special Help Table'!$A819," ",""))=3),'Special Help Table'!$A819)</f>
        <v>0</v>
      </c>
      <c r="C819" s="4" t="s">
        <v>1502</v>
      </c>
      <c r="D819" s="2"/>
      <c r="E819" s="2" t="s">
        <v>1491</v>
      </c>
      <c r="F819" s="2" t="s">
        <v>1492</v>
      </c>
      <c r="G819" s="2"/>
      <c r="H819" s="2"/>
      <c r="I819" s="2"/>
      <c r="J819" s="2"/>
      <c r="K819" s="3">
        <v>40644</v>
      </c>
      <c r="L819" s="2"/>
      <c r="M819" s="2" t="s">
        <v>1493</v>
      </c>
      <c r="N819" s="2" t="s">
        <v>1494</v>
      </c>
    </row>
    <row r="820" spans="1:14" ht="15.75" customHeight="1" x14ac:dyDescent="0.35">
      <c r="A820" s="2"/>
      <c r="B820" s="2" cm="1">
        <f t="array" ref="B820">_xlfn.IFS(AND(LEN('Special Help Table'!$A820)-(LEN(SUBSTITUTE('Special Help Table'!$A820,";","")))=0,LEN('Special Help Table'!$A820)-LEN(SUBSTITUTE('Special Help Table'!$A820,",",""))=1,LEN('Special Help Table'!$A820)-LEN(SUBSTITUTE('Special Help Table'!$A820,"and ",""))=0),MID('Special Help Table'!$A820&amp;" "&amp;'Special Help Table'!$A820,SEARCH(", ",'Special Help Table'!$A820)+1,LEN('Special Help Table'!$A820)),AND(LEN('Special Help Table'!$A820)-(LEN(SUBSTITUTE('Special Help Table'!$A820,";","")))=1,LEN('Special Help Table'!$A820)-LEN(SUBSTITUTE('Special Help Table'!$A820,"and ",""))=0),MID('Special Help Table'!$A820,SEARCH(",",'Special Help Table'!$A820)+1,(SEARCH(";",'Special Help Table'!$A820)-1)-SEARCH(",",'Special Help Table'!$A820))&amp;" "&amp;LEFT('Special Help Table'!$A820,SEARCH(",",'Special Help Table'!$A820)-1)&amp;";"&amp;RIGHT('Special Help Table'!$A820,LEN('Special Help Table'!$A820)-SEARCH(",",'Special Help Table'!$A820,SEARCH(";",'Special Help Table'!$A820)))&amp;" "&amp;MID('Special Help Table'!$A820,SEARCH("; ",'Special Help Table'!$A820)+2,SEARCH(",",'Special Help Table'!$A820,SEARCH(";",'Special Help Table'!$A820))-SEARCH(";",'Special Help Table'!$A820)-2),AND(LEN('Special Help Table'!$A820)-LEN(SUBSTITUTE('Special Help Table'!$A820,"and ",""))=0,LEN('Special Help Table'!$A820)-LEN(SUBSTITUTE('Special Help Table'!$A820,";",""))=0),'Special Help Table'!$A820,AND(LEN('Special Help Table'!$A820)-LEN(SUBSTITUTE('Special Help Table'!$A820,",","")=1),LEN('Special Help Table'!$A820)-LEN(SUBSTITUTE('Special Help Table'!$A820," ","")=20),LEN('Special Help Table'!$A820)-LEN(SUBSTITUTE('Special Help Table'!$A820," and",""))=0,LEN('Special Help Table'!$A820)-LEN(SUBSTITUTE('Special Help Table'!$A820,",","",FIND(" ",'Special Help Table'!$A820)+1))=0),RIGHT('Special Help Table'!$A820,LEN('Special Help Table'!$A820)-FIND(", ",'Special Help Table'!$A820))&amp;" "&amp;LEFT('Special Help Table'!$A820,FIND(",",'Special Help Table'!$A820)-1),AND(LEN('Special Help Table'!$A820)-LEN(SUBSTITUTE('Special Help Table'!$A820,"editor",""))=6,LEN('Special Help Table'!$A820)-LEN(SUBSTITUTE('Special Help Table'!$A820,"(",""))=0,LEN('Special Help Table'!$A820)-LEN(SUBSTITUTE('Special Help Table'!$A820,"and",""))=3,LEN('Special Help Table'!$A820)-LEN(SUBSTITUTE('Special Help Table'!$A820,",",""))=1,LEN('Special Help Table'!$A820)-LEN(SUBSTITUTE('Special Help Table'!$A820," ",""))=3),'Special Help Table'!$A820)</f>
        <v>0</v>
      </c>
      <c r="C820" s="4" t="s">
        <v>1503</v>
      </c>
      <c r="D820" s="2"/>
      <c r="E820" s="2" t="s">
        <v>1491</v>
      </c>
      <c r="F820" s="2" t="s">
        <v>1492</v>
      </c>
      <c r="G820" s="2"/>
      <c r="H820" s="2"/>
      <c r="I820" s="2"/>
      <c r="J820" s="2"/>
      <c r="K820" s="3">
        <v>44578</v>
      </c>
      <c r="L820" s="2"/>
      <c r="M820" s="2" t="s">
        <v>1493</v>
      </c>
      <c r="N820" s="2" t="s">
        <v>1494</v>
      </c>
    </row>
    <row r="821" spans="1:14" ht="15.75" customHeight="1" x14ac:dyDescent="0.35">
      <c r="A821" s="2"/>
      <c r="B821" s="2" cm="1">
        <f t="array" ref="B821">_xlfn.IFS(AND(LEN('Special Help Table'!$A821)-(LEN(SUBSTITUTE('Special Help Table'!$A821,";","")))=0,LEN('Special Help Table'!$A821)-LEN(SUBSTITUTE('Special Help Table'!$A821,",",""))=1,LEN('Special Help Table'!$A821)-LEN(SUBSTITUTE('Special Help Table'!$A821,"and ",""))=0),MID('Special Help Table'!$A821&amp;" "&amp;'Special Help Table'!$A821,SEARCH(", ",'Special Help Table'!$A821)+1,LEN('Special Help Table'!$A821)),AND(LEN('Special Help Table'!$A821)-(LEN(SUBSTITUTE('Special Help Table'!$A821,";","")))=1,LEN('Special Help Table'!$A821)-LEN(SUBSTITUTE('Special Help Table'!$A821,"and ",""))=0),MID('Special Help Table'!$A821,SEARCH(",",'Special Help Table'!$A821)+1,(SEARCH(";",'Special Help Table'!$A821)-1)-SEARCH(",",'Special Help Table'!$A821))&amp;" "&amp;LEFT('Special Help Table'!$A821,SEARCH(",",'Special Help Table'!$A821)-1)&amp;";"&amp;RIGHT('Special Help Table'!$A821,LEN('Special Help Table'!$A821)-SEARCH(",",'Special Help Table'!$A821,SEARCH(";",'Special Help Table'!$A821)))&amp;" "&amp;MID('Special Help Table'!$A821,SEARCH("; ",'Special Help Table'!$A821)+2,SEARCH(",",'Special Help Table'!$A821,SEARCH(";",'Special Help Table'!$A821))-SEARCH(";",'Special Help Table'!$A821)-2),AND(LEN('Special Help Table'!$A821)-LEN(SUBSTITUTE('Special Help Table'!$A821,"and ",""))=0,LEN('Special Help Table'!$A821)-LEN(SUBSTITUTE('Special Help Table'!$A821,";",""))=0),'Special Help Table'!$A821,AND(LEN('Special Help Table'!$A821)-LEN(SUBSTITUTE('Special Help Table'!$A821,",","")=1),LEN('Special Help Table'!$A821)-LEN(SUBSTITUTE('Special Help Table'!$A821," ","")=20),LEN('Special Help Table'!$A821)-LEN(SUBSTITUTE('Special Help Table'!$A821," and",""))=0,LEN('Special Help Table'!$A821)-LEN(SUBSTITUTE('Special Help Table'!$A821,",","",FIND(" ",'Special Help Table'!$A821)+1))=0),RIGHT('Special Help Table'!$A821,LEN('Special Help Table'!$A821)-FIND(", ",'Special Help Table'!$A821))&amp;" "&amp;LEFT('Special Help Table'!$A821,FIND(",",'Special Help Table'!$A821)-1),AND(LEN('Special Help Table'!$A821)-LEN(SUBSTITUTE('Special Help Table'!$A821,"editor",""))=6,LEN('Special Help Table'!$A821)-LEN(SUBSTITUTE('Special Help Table'!$A821,"(",""))=0,LEN('Special Help Table'!$A821)-LEN(SUBSTITUTE('Special Help Table'!$A821,"and",""))=3,LEN('Special Help Table'!$A821)-LEN(SUBSTITUTE('Special Help Table'!$A821,",",""))=1,LEN('Special Help Table'!$A821)-LEN(SUBSTITUTE('Special Help Table'!$A821," ",""))=3),'Special Help Table'!$A821)</f>
        <v>0</v>
      </c>
      <c r="C821" s="4" t="s">
        <v>1504</v>
      </c>
      <c r="D821" s="2"/>
      <c r="E821" s="2" t="s">
        <v>1491</v>
      </c>
      <c r="F821" s="2" t="s">
        <v>1492</v>
      </c>
      <c r="G821" s="2"/>
      <c r="H821" s="2"/>
      <c r="I821" s="2"/>
      <c r="J821" s="2"/>
      <c r="K821" s="3">
        <v>40644</v>
      </c>
      <c r="L821" s="2" t="s">
        <v>1505</v>
      </c>
      <c r="M821" s="2" t="s">
        <v>1493</v>
      </c>
      <c r="N821" s="2" t="s">
        <v>1494</v>
      </c>
    </row>
    <row r="822" spans="1:14" ht="15.75" customHeight="1" x14ac:dyDescent="0.35">
      <c r="A822" s="2"/>
      <c r="B822" s="2" cm="1">
        <f t="array" ref="B822">_xlfn.IFS(AND(LEN('Special Help Table'!$A822)-(LEN(SUBSTITUTE('Special Help Table'!$A822,";","")))=0,LEN('Special Help Table'!$A822)-LEN(SUBSTITUTE('Special Help Table'!$A822,",",""))=1,LEN('Special Help Table'!$A822)-LEN(SUBSTITUTE('Special Help Table'!$A822,"and ",""))=0),MID('Special Help Table'!$A822&amp;" "&amp;'Special Help Table'!$A822,SEARCH(", ",'Special Help Table'!$A822)+1,LEN('Special Help Table'!$A822)),AND(LEN('Special Help Table'!$A822)-(LEN(SUBSTITUTE('Special Help Table'!$A822,";","")))=1,LEN('Special Help Table'!$A822)-LEN(SUBSTITUTE('Special Help Table'!$A822,"and ",""))=0),MID('Special Help Table'!$A822,SEARCH(",",'Special Help Table'!$A822)+1,(SEARCH(";",'Special Help Table'!$A822)-1)-SEARCH(",",'Special Help Table'!$A822))&amp;" "&amp;LEFT('Special Help Table'!$A822,SEARCH(",",'Special Help Table'!$A822)-1)&amp;";"&amp;RIGHT('Special Help Table'!$A822,LEN('Special Help Table'!$A822)-SEARCH(",",'Special Help Table'!$A822,SEARCH(";",'Special Help Table'!$A822)))&amp;" "&amp;MID('Special Help Table'!$A822,SEARCH("; ",'Special Help Table'!$A822)+2,SEARCH(",",'Special Help Table'!$A822,SEARCH(";",'Special Help Table'!$A822))-SEARCH(";",'Special Help Table'!$A822)-2),AND(LEN('Special Help Table'!$A822)-LEN(SUBSTITUTE('Special Help Table'!$A822,"and ",""))=0,LEN('Special Help Table'!$A822)-LEN(SUBSTITUTE('Special Help Table'!$A822,";",""))=0),'Special Help Table'!$A822,AND(LEN('Special Help Table'!$A822)-LEN(SUBSTITUTE('Special Help Table'!$A822,",","")=1),LEN('Special Help Table'!$A822)-LEN(SUBSTITUTE('Special Help Table'!$A822," ","")=20),LEN('Special Help Table'!$A822)-LEN(SUBSTITUTE('Special Help Table'!$A822," and",""))=0,LEN('Special Help Table'!$A822)-LEN(SUBSTITUTE('Special Help Table'!$A822,",","",FIND(" ",'Special Help Table'!$A822)+1))=0),RIGHT('Special Help Table'!$A822,LEN('Special Help Table'!$A822)-FIND(", ",'Special Help Table'!$A822))&amp;" "&amp;LEFT('Special Help Table'!$A822,FIND(",",'Special Help Table'!$A822)-1),AND(LEN('Special Help Table'!$A822)-LEN(SUBSTITUTE('Special Help Table'!$A822,"editor",""))=6,LEN('Special Help Table'!$A822)-LEN(SUBSTITUTE('Special Help Table'!$A822,"(",""))=0,LEN('Special Help Table'!$A822)-LEN(SUBSTITUTE('Special Help Table'!$A822,"and",""))=3,LEN('Special Help Table'!$A822)-LEN(SUBSTITUTE('Special Help Table'!$A822,",",""))=1,LEN('Special Help Table'!$A822)-LEN(SUBSTITUTE('Special Help Table'!$A822," ",""))=3),'Special Help Table'!$A822)</f>
        <v>0</v>
      </c>
      <c r="C822" s="4" t="s">
        <v>1506</v>
      </c>
      <c r="D822" s="2"/>
      <c r="E822" s="2" t="s">
        <v>1491</v>
      </c>
      <c r="F822" s="2" t="s">
        <v>1492</v>
      </c>
      <c r="G822" s="2"/>
      <c r="H822" s="2"/>
      <c r="I822" s="2"/>
      <c r="J822" s="2"/>
      <c r="K822" s="3">
        <v>44578</v>
      </c>
      <c r="L822" s="2"/>
      <c r="M822" s="2" t="s">
        <v>1493</v>
      </c>
      <c r="N822" s="2" t="s">
        <v>1494</v>
      </c>
    </row>
    <row r="823" spans="1:14" ht="15.75" customHeight="1" x14ac:dyDescent="0.35">
      <c r="A823" s="2"/>
      <c r="B823" s="2" cm="1">
        <f t="array" ref="B823">_xlfn.IFS(AND(LEN('Special Help Table'!$A823)-(LEN(SUBSTITUTE('Special Help Table'!$A823,";","")))=0,LEN('Special Help Table'!$A823)-LEN(SUBSTITUTE('Special Help Table'!$A823,",",""))=1,LEN('Special Help Table'!$A823)-LEN(SUBSTITUTE('Special Help Table'!$A823,"and ",""))=0),MID('Special Help Table'!$A823&amp;" "&amp;'Special Help Table'!$A823,SEARCH(", ",'Special Help Table'!$A823)+1,LEN('Special Help Table'!$A823)),AND(LEN('Special Help Table'!$A823)-(LEN(SUBSTITUTE('Special Help Table'!$A823,";","")))=1,LEN('Special Help Table'!$A823)-LEN(SUBSTITUTE('Special Help Table'!$A823,"and ",""))=0),MID('Special Help Table'!$A823,SEARCH(",",'Special Help Table'!$A823)+1,(SEARCH(";",'Special Help Table'!$A823)-1)-SEARCH(",",'Special Help Table'!$A823))&amp;" "&amp;LEFT('Special Help Table'!$A823,SEARCH(",",'Special Help Table'!$A823)-1)&amp;";"&amp;RIGHT('Special Help Table'!$A823,LEN('Special Help Table'!$A823)-SEARCH(",",'Special Help Table'!$A823,SEARCH(";",'Special Help Table'!$A823)))&amp;" "&amp;MID('Special Help Table'!$A823,SEARCH("; ",'Special Help Table'!$A823)+2,SEARCH(",",'Special Help Table'!$A823,SEARCH(";",'Special Help Table'!$A823))-SEARCH(";",'Special Help Table'!$A823)-2),AND(LEN('Special Help Table'!$A823)-LEN(SUBSTITUTE('Special Help Table'!$A823,"and ",""))=0,LEN('Special Help Table'!$A823)-LEN(SUBSTITUTE('Special Help Table'!$A823,";",""))=0),'Special Help Table'!$A823,AND(LEN('Special Help Table'!$A823)-LEN(SUBSTITUTE('Special Help Table'!$A823,",","")=1),LEN('Special Help Table'!$A823)-LEN(SUBSTITUTE('Special Help Table'!$A823," ","")=20),LEN('Special Help Table'!$A823)-LEN(SUBSTITUTE('Special Help Table'!$A823," and",""))=0,LEN('Special Help Table'!$A823)-LEN(SUBSTITUTE('Special Help Table'!$A823,",","",FIND(" ",'Special Help Table'!$A823)+1))=0),RIGHT('Special Help Table'!$A823,LEN('Special Help Table'!$A823)-FIND(", ",'Special Help Table'!$A823))&amp;" "&amp;LEFT('Special Help Table'!$A823,FIND(",",'Special Help Table'!$A823)-1),AND(LEN('Special Help Table'!$A823)-LEN(SUBSTITUTE('Special Help Table'!$A823,"editor",""))=6,LEN('Special Help Table'!$A823)-LEN(SUBSTITUTE('Special Help Table'!$A823,"(",""))=0,LEN('Special Help Table'!$A823)-LEN(SUBSTITUTE('Special Help Table'!$A823,"and",""))=3,LEN('Special Help Table'!$A823)-LEN(SUBSTITUTE('Special Help Table'!$A823,",",""))=1,LEN('Special Help Table'!$A823)-LEN(SUBSTITUTE('Special Help Table'!$A823," ",""))=3),'Special Help Table'!$A823)</f>
        <v>0</v>
      </c>
      <c r="C823" s="4" t="s">
        <v>1507</v>
      </c>
      <c r="D823" s="2"/>
      <c r="E823" s="2" t="s">
        <v>1491</v>
      </c>
      <c r="F823" s="2" t="s">
        <v>1492</v>
      </c>
      <c r="G823" s="2"/>
      <c r="H823" s="2"/>
      <c r="I823" s="2"/>
      <c r="J823" s="2"/>
      <c r="K823" s="3">
        <v>41346</v>
      </c>
      <c r="L823" s="2"/>
      <c r="M823" s="2"/>
      <c r="N823" s="2" t="s">
        <v>1494</v>
      </c>
    </row>
    <row r="824" spans="1:14" ht="15.75" customHeight="1" x14ac:dyDescent="0.35">
      <c r="A824" s="2"/>
      <c r="B824" s="2" cm="1">
        <f t="array" ref="B824">_xlfn.IFS(AND(LEN('Special Help Table'!$A824)-(LEN(SUBSTITUTE('Special Help Table'!$A824,";","")))=0,LEN('Special Help Table'!$A824)-LEN(SUBSTITUTE('Special Help Table'!$A824,",",""))=1,LEN('Special Help Table'!$A824)-LEN(SUBSTITUTE('Special Help Table'!$A824,"and ",""))=0),MID('Special Help Table'!$A824&amp;" "&amp;'Special Help Table'!$A824,SEARCH(", ",'Special Help Table'!$A824)+1,LEN('Special Help Table'!$A824)),AND(LEN('Special Help Table'!$A824)-(LEN(SUBSTITUTE('Special Help Table'!$A824,";","")))=1,LEN('Special Help Table'!$A824)-LEN(SUBSTITUTE('Special Help Table'!$A824,"and ",""))=0),MID('Special Help Table'!$A824,SEARCH(",",'Special Help Table'!$A824)+1,(SEARCH(";",'Special Help Table'!$A824)-1)-SEARCH(",",'Special Help Table'!$A824))&amp;" "&amp;LEFT('Special Help Table'!$A824,SEARCH(",",'Special Help Table'!$A824)-1)&amp;";"&amp;RIGHT('Special Help Table'!$A824,LEN('Special Help Table'!$A824)-SEARCH(",",'Special Help Table'!$A824,SEARCH(";",'Special Help Table'!$A824)))&amp;" "&amp;MID('Special Help Table'!$A824,SEARCH("; ",'Special Help Table'!$A824)+2,SEARCH(",",'Special Help Table'!$A824,SEARCH(";",'Special Help Table'!$A824))-SEARCH(";",'Special Help Table'!$A824)-2),AND(LEN('Special Help Table'!$A824)-LEN(SUBSTITUTE('Special Help Table'!$A824,"and ",""))=0,LEN('Special Help Table'!$A824)-LEN(SUBSTITUTE('Special Help Table'!$A824,";",""))=0),'Special Help Table'!$A824,AND(LEN('Special Help Table'!$A824)-LEN(SUBSTITUTE('Special Help Table'!$A824,",","")=1),LEN('Special Help Table'!$A824)-LEN(SUBSTITUTE('Special Help Table'!$A824," ","")=20),LEN('Special Help Table'!$A824)-LEN(SUBSTITUTE('Special Help Table'!$A824," and",""))=0,LEN('Special Help Table'!$A824)-LEN(SUBSTITUTE('Special Help Table'!$A824,",","",FIND(" ",'Special Help Table'!$A824)+1))=0),RIGHT('Special Help Table'!$A824,LEN('Special Help Table'!$A824)-FIND(", ",'Special Help Table'!$A824))&amp;" "&amp;LEFT('Special Help Table'!$A824,FIND(",",'Special Help Table'!$A824)-1),AND(LEN('Special Help Table'!$A824)-LEN(SUBSTITUTE('Special Help Table'!$A824,"editor",""))=6,LEN('Special Help Table'!$A824)-LEN(SUBSTITUTE('Special Help Table'!$A824,"(",""))=0,LEN('Special Help Table'!$A824)-LEN(SUBSTITUTE('Special Help Table'!$A824,"and",""))=3,LEN('Special Help Table'!$A824)-LEN(SUBSTITUTE('Special Help Table'!$A824,",",""))=1,LEN('Special Help Table'!$A824)-LEN(SUBSTITUTE('Special Help Table'!$A824," ",""))=3),'Special Help Table'!$A824)</f>
        <v>0</v>
      </c>
      <c r="C824" s="4" t="s">
        <v>1508</v>
      </c>
      <c r="D824" s="2"/>
      <c r="E824" s="2" t="s">
        <v>1491</v>
      </c>
      <c r="F824" s="2" t="s">
        <v>1492</v>
      </c>
      <c r="G824" s="2"/>
      <c r="H824" s="2"/>
      <c r="I824" s="2"/>
      <c r="J824" s="2"/>
      <c r="K824" s="3">
        <v>40644</v>
      </c>
      <c r="L824" s="2"/>
      <c r="M824" s="2" t="s">
        <v>1493</v>
      </c>
      <c r="N824" s="2" t="s">
        <v>1494</v>
      </c>
    </row>
    <row r="825" spans="1:14" ht="15.75" customHeight="1" x14ac:dyDescent="0.35">
      <c r="A825" s="2"/>
      <c r="B825" s="2" cm="1">
        <f t="array" ref="B825">_xlfn.IFS(AND(LEN('Special Help Table'!$A825)-(LEN(SUBSTITUTE('Special Help Table'!$A825,";","")))=0,LEN('Special Help Table'!$A825)-LEN(SUBSTITUTE('Special Help Table'!$A825,",",""))=1,LEN('Special Help Table'!$A825)-LEN(SUBSTITUTE('Special Help Table'!$A825,"and ",""))=0),MID('Special Help Table'!$A825&amp;" "&amp;'Special Help Table'!$A825,SEARCH(", ",'Special Help Table'!$A825)+1,LEN('Special Help Table'!$A825)),AND(LEN('Special Help Table'!$A825)-(LEN(SUBSTITUTE('Special Help Table'!$A825,";","")))=1,LEN('Special Help Table'!$A825)-LEN(SUBSTITUTE('Special Help Table'!$A825,"and ",""))=0),MID('Special Help Table'!$A825,SEARCH(",",'Special Help Table'!$A825)+1,(SEARCH(";",'Special Help Table'!$A825)-1)-SEARCH(",",'Special Help Table'!$A825))&amp;" "&amp;LEFT('Special Help Table'!$A825,SEARCH(",",'Special Help Table'!$A825)-1)&amp;";"&amp;RIGHT('Special Help Table'!$A825,LEN('Special Help Table'!$A825)-SEARCH(",",'Special Help Table'!$A825,SEARCH(";",'Special Help Table'!$A825)))&amp;" "&amp;MID('Special Help Table'!$A825,SEARCH("; ",'Special Help Table'!$A825)+2,SEARCH(",",'Special Help Table'!$A825,SEARCH(";",'Special Help Table'!$A825))-SEARCH(";",'Special Help Table'!$A825)-2),AND(LEN('Special Help Table'!$A825)-LEN(SUBSTITUTE('Special Help Table'!$A825,"and ",""))=0,LEN('Special Help Table'!$A825)-LEN(SUBSTITUTE('Special Help Table'!$A825,";",""))=0),'Special Help Table'!$A825,AND(LEN('Special Help Table'!$A825)-LEN(SUBSTITUTE('Special Help Table'!$A825,",","")=1),LEN('Special Help Table'!$A825)-LEN(SUBSTITUTE('Special Help Table'!$A825," ","")=20),LEN('Special Help Table'!$A825)-LEN(SUBSTITUTE('Special Help Table'!$A825," and",""))=0,LEN('Special Help Table'!$A825)-LEN(SUBSTITUTE('Special Help Table'!$A825,",","",FIND(" ",'Special Help Table'!$A825)+1))=0),RIGHT('Special Help Table'!$A825,LEN('Special Help Table'!$A825)-FIND(", ",'Special Help Table'!$A825))&amp;" "&amp;LEFT('Special Help Table'!$A825,FIND(",",'Special Help Table'!$A825)-1),AND(LEN('Special Help Table'!$A825)-LEN(SUBSTITUTE('Special Help Table'!$A825,"editor",""))=6,LEN('Special Help Table'!$A825)-LEN(SUBSTITUTE('Special Help Table'!$A825,"(",""))=0,LEN('Special Help Table'!$A825)-LEN(SUBSTITUTE('Special Help Table'!$A825,"and",""))=3,LEN('Special Help Table'!$A825)-LEN(SUBSTITUTE('Special Help Table'!$A825,",",""))=1,LEN('Special Help Table'!$A825)-LEN(SUBSTITUTE('Special Help Table'!$A825," ",""))=3),'Special Help Table'!$A825)</f>
        <v>0</v>
      </c>
      <c r="C825" s="4" t="s">
        <v>1509</v>
      </c>
      <c r="D825" s="2"/>
      <c r="E825" s="2" t="s">
        <v>1491</v>
      </c>
      <c r="F825" s="2" t="s">
        <v>1492</v>
      </c>
      <c r="G825" s="2"/>
      <c r="H825" s="2"/>
      <c r="I825" s="2"/>
      <c r="J825" s="2"/>
      <c r="K825" s="3">
        <v>40644</v>
      </c>
      <c r="L825" s="2"/>
      <c r="M825" s="2" t="s">
        <v>1493</v>
      </c>
      <c r="N825" s="2" t="s">
        <v>1494</v>
      </c>
    </row>
    <row r="826" spans="1:14" ht="15.75" customHeight="1" x14ac:dyDescent="0.35">
      <c r="A826" s="2"/>
      <c r="B826" s="2" cm="1">
        <f t="array" ref="B826">_xlfn.IFS(AND(LEN('Special Help Table'!$A826)-(LEN(SUBSTITUTE('Special Help Table'!$A826,";","")))=0,LEN('Special Help Table'!$A826)-LEN(SUBSTITUTE('Special Help Table'!$A826,",",""))=1,LEN('Special Help Table'!$A826)-LEN(SUBSTITUTE('Special Help Table'!$A826,"and ",""))=0),MID('Special Help Table'!$A826&amp;" "&amp;'Special Help Table'!$A826,SEARCH(", ",'Special Help Table'!$A826)+1,LEN('Special Help Table'!$A826)),AND(LEN('Special Help Table'!$A826)-(LEN(SUBSTITUTE('Special Help Table'!$A826,";","")))=1,LEN('Special Help Table'!$A826)-LEN(SUBSTITUTE('Special Help Table'!$A826,"and ",""))=0),MID('Special Help Table'!$A826,SEARCH(",",'Special Help Table'!$A826)+1,(SEARCH(";",'Special Help Table'!$A826)-1)-SEARCH(",",'Special Help Table'!$A826))&amp;" "&amp;LEFT('Special Help Table'!$A826,SEARCH(",",'Special Help Table'!$A826)-1)&amp;";"&amp;RIGHT('Special Help Table'!$A826,LEN('Special Help Table'!$A826)-SEARCH(",",'Special Help Table'!$A826,SEARCH(";",'Special Help Table'!$A826)))&amp;" "&amp;MID('Special Help Table'!$A826,SEARCH("; ",'Special Help Table'!$A826)+2,SEARCH(",",'Special Help Table'!$A826,SEARCH(";",'Special Help Table'!$A826))-SEARCH(";",'Special Help Table'!$A826)-2),AND(LEN('Special Help Table'!$A826)-LEN(SUBSTITUTE('Special Help Table'!$A826,"and ",""))=0,LEN('Special Help Table'!$A826)-LEN(SUBSTITUTE('Special Help Table'!$A826,";",""))=0),'Special Help Table'!$A826,AND(LEN('Special Help Table'!$A826)-LEN(SUBSTITUTE('Special Help Table'!$A826,",","")=1),LEN('Special Help Table'!$A826)-LEN(SUBSTITUTE('Special Help Table'!$A826," ","")=20),LEN('Special Help Table'!$A826)-LEN(SUBSTITUTE('Special Help Table'!$A826," and",""))=0,LEN('Special Help Table'!$A826)-LEN(SUBSTITUTE('Special Help Table'!$A826,",","",FIND(" ",'Special Help Table'!$A826)+1))=0),RIGHT('Special Help Table'!$A826,LEN('Special Help Table'!$A826)-FIND(", ",'Special Help Table'!$A826))&amp;" "&amp;LEFT('Special Help Table'!$A826,FIND(",",'Special Help Table'!$A826)-1),AND(LEN('Special Help Table'!$A826)-LEN(SUBSTITUTE('Special Help Table'!$A826,"editor",""))=6,LEN('Special Help Table'!$A826)-LEN(SUBSTITUTE('Special Help Table'!$A826,"(",""))=0,LEN('Special Help Table'!$A826)-LEN(SUBSTITUTE('Special Help Table'!$A826,"and",""))=3,LEN('Special Help Table'!$A826)-LEN(SUBSTITUTE('Special Help Table'!$A826,",",""))=1,LEN('Special Help Table'!$A826)-LEN(SUBSTITUTE('Special Help Table'!$A826," ",""))=3),'Special Help Table'!$A826)</f>
        <v>0</v>
      </c>
      <c r="C826" s="4" t="s">
        <v>1510</v>
      </c>
      <c r="D826" s="2"/>
      <c r="E826" s="2" t="s">
        <v>1491</v>
      </c>
      <c r="F826" s="2" t="s">
        <v>1492</v>
      </c>
      <c r="G826" s="2"/>
      <c r="H826" s="2"/>
      <c r="I826" s="2"/>
      <c r="J826" s="2"/>
      <c r="K826" s="3">
        <v>44578</v>
      </c>
      <c r="L826" s="2"/>
      <c r="M826" s="2" t="s">
        <v>1493</v>
      </c>
      <c r="N826" s="2" t="s">
        <v>1494</v>
      </c>
    </row>
    <row r="827" spans="1:14" ht="15.75" customHeight="1" x14ac:dyDescent="0.35">
      <c r="A827" s="2"/>
      <c r="B827" s="2" cm="1">
        <f t="array" ref="B827">_xlfn.IFS(AND(LEN('Special Help Table'!$A827)-(LEN(SUBSTITUTE('Special Help Table'!$A827,";","")))=0,LEN('Special Help Table'!$A827)-LEN(SUBSTITUTE('Special Help Table'!$A827,",",""))=1,LEN('Special Help Table'!$A827)-LEN(SUBSTITUTE('Special Help Table'!$A827,"and ",""))=0),MID('Special Help Table'!$A827&amp;" "&amp;'Special Help Table'!$A827,SEARCH(", ",'Special Help Table'!$A827)+1,LEN('Special Help Table'!$A827)),AND(LEN('Special Help Table'!$A827)-(LEN(SUBSTITUTE('Special Help Table'!$A827,";","")))=1,LEN('Special Help Table'!$A827)-LEN(SUBSTITUTE('Special Help Table'!$A827,"and ",""))=0),MID('Special Help Table'!$A827,SEARCH(",",'Special Help Table'!$A827)+1,(SEARCH(";",'Special Help Table'!$A827)-1)-SEARCH(",",'Special Help Table'!$A827))&amp;" "&amp;LEFT('Special Help Table'!$A827,SEARCH(",",'Special Help Table'!$A827)-1)&amp;";"&amp;RIGHT('Special Help Table'!$A827,LEN('Special Help Table'!$A827)-SEARCH(",",'Special Help Table'!$A827,SEARCH(";",'Special Help Table'!$A827)))&amp;" "&amp;MID('Special Help Table'!$A827,SEARCH("; ",'Special Help Table'!$A827)+2,SEARCH(",",'Special Help Table'!$A827,SEARCH(";",'Special Help Table'!$A827))-SEARCH(";",'Special Help Table'!$A827)-2),AND(LEN('Special Help Table'!$A827)-LEN(SUBSTITUTE('Special Help Table'!$A827,"and ",""))=0,LEN('Special Help Table'!$A827)-LEN(SUBSTITUTE('Special Help Table'!$A827,";",""))=0),'Special Help Table'!$A827,AND(LEN('Special Help Table'!$A827)-LEN(SUBSTITUTE('Special Help Table'!$A827,",","")=1),LEN('Special Help Table'!$A827)-LEN(SUBSTITUTE('Special Help Table'!$A827," ","")=20),LEN('Special Help Table'!$A827)-LEN(SUBSTITUTE('Special Help Table'!$A827," and",""))=0,LEN('Special Help Table'!$A827)-LEN(SUBSTITUTE('Special Help Table'!$A827,",","",FIND(" ",'Special Help Table'!$A827)+1))=0),RIGHT('Special Help Table'!$A827,LEN('Special Help Table'!$A827)-FIND(", ",'Special Help Table'!$A827))&amp;" "&amp;LEFT('Special Help Table'!$A827,FIND(",",'Special Help Table'!$A827)-1),AND(LEN('Special Help Table'!$A827)-LEN(SUBSTITUTE('Special Help Table'!$A827,"editor",""))=6,LEN('Special Help Table'!$A827)-LEN(SUBSTITUTE('Special Help Table'!$A827,"(",""))=0,LEN('Special Help Table'!$A827)-LEN(SUBSTITUTE('Special Help Table'!$A827,"and",""))=3,LEN('Special Help Table'!$A827)-LEN(SUBSTITUTE('Special Help Table'!$A827,",",""))=1,LEN('Special Help Table'!$A827)-LEN(SUBSTITUTE('Special Help Table'!$A827," ",""))=3),'Special Help Table'!$A827)</f>
        <v>0</v>
      </c>
      <c r="C827" s="4" t="s">
        <v>1511</v>
      </c>
      <c r="D827" s="2"/>
      <c r="E827" s="2" t="s">
        <v>1491</v>
      </c>
      <c r="F827" s="2" t="s">
        <v>1492</v>
      </c>
      <c r="G827" s="2"/>
      <c r="H827" s="2"/>
      <c r="I827" s="2"/>
      <c r="J827" s="2"/>
      <c r="K827" s="3">
        <v>44578</v>
      </c>
      <c r="L827" s="2"/>
      <c r="M827" s="2" t="s">
        <v>1493</v>
      </c>
      <c r="N827" s="2" t="s">
        <v>1494</v>
      </c>
    </row>
    <row r="828" spans="1:14" ht="15.75" customHeight="1" x14ac:dyDescent="0.35">
      <c r="A828" s="2"/>
      <c r="B828" s="2" cm="1">
        <f t="array" ref="B828">_xlfn.IFS(AND(LEN('Special Help Table'!$A828)-(LEN(SUBSTITUTE('Special Help Table'!$A828,";","")))=0,LEN('Special Help Table'!$A828)-LEN(SUBSTITUTE('Special Help Table'!$A828,",",""))=1,LEN('Special Help Table'!$A828)-LEN(SUBSTITUTE('Special Help Table'!$A828,"and ",""))=0),MID('Special Help Table'!$A828&amp;" "&amp;'Special Help Table'!$A828,SEARCH(", ",'Special Help Table'!$A828)+1,LEN('Special Help Table'!$A828)),AND(LEN('Special Help Table'!$A828)-(LEN(SUBSTITUTE('Special Help Table'!$A828,";","")))=1,LEN('Special Help Table'!$A828)-LEN(SUBSTITUTE('Special Help Table'!$A828,"and ",""))=0),MID('Special Help Table'!$A828,SEARCH(",",'Special Help Table'!$A828)+1,(SEARCH(";",'Special Help Table'!$A828)-1)-SEARCH(",",'Special Help Table'!$A828))&amp;" "&amp;LEFT('Special Help Table'!$A828,SEARCH(",",'Special Help Table'!$A828)-1)&amp;";"&amp;RIGHT('Special Help Table'!$A828,LEN('Special Help Table'!$A828)-SEARCH(",",'Special Help Table'!$A828,SEARCH(";",'Special Help Table'!$A828)))&amp;" "&amp;MID('Special Help Table'!$A828,SEARCH("; ",'Special Help Table'!$A828)+2,SEARCH(",",'Special Help Table'!$A828,SEARCH(";",'Special Help Table'!$A828))-SEARCH(";",'Special Help Table'!$A828)-2),AND(LEN('Special Help Table'!$A828)-LEN(SUBSTITUTE('Special Help Table'!$A828,"and ",""))=0,LEN('Special Help Table'!$A828)-LEN(SUBSTITUTE('Special Help Table'!$A828,";",""))=0),'Special Help Table'!$A828,AND(LEN('Special Help Table'!$A828)-LEN(SUBSTITUTE('Special Help Table'!$A828,",","")=1),LEN('Special Help Table'!$A828)-LEN(SUBSTITUTE('Special Help Table'!$A828," ","")=20),LEN('Special Help Table'!$A828)-LEN(SUBSTITUTE('Special Help Table'!$A828," and",""))=0,LEN('Special Help Table'!$A828)-LEN(SUBSTITUTE('Special Help Table'!$A828,",","",FIND(" ",'Special Help Table'!$A828)+1))=0),RIGHT('Special Help Table'!$A828,LEN('Special Help Table'!$A828)-FIND(", ",'Special Help Table'!$A828))&amp;" "&amp;LEFT('Special Help Table'!$A828,FIND(",",'Special Help Table'!$A828)-1),AND(LEN('Special Help Table'!$A828)-LEN(SUBSTITUTE('Special Help Table'!$A828,"editor",""))=6,LEN('Special Help Table'!$A828)-LEN(SUBSTITUTE('Special Help Table'!$A828,"(",""))=0,LEN('Special Help Table'!$A828)-LEN(SUBSTITUTE('Special Help Table'!$A828,"and",""))=3,LEN('Special Help Table'!$A828)-LEN(SUBSTITUTE('Special Help Table'!$A828,",",""))=1,LEN('Special Help Table'!$A828)-LEN(SUBSTITUTE('Special Help Table'!$A828," ",""))=3),'Special Help Table'!$A828)</f>
        <v>0</v>
      </c>
      <c r="C828" s="4" t="s">
        <v>1512</v>
      </c>
      <c r="D828" s="2"/>
      <c r="E828" s="2" t="s">
        <v>1491</v>
      </c>
      <c r="F828" s="2" t="s">
        <v>1492</v>
      </c>
      <c r="G828" s="2"/>
      <c r="H828" s="2"/>
      <c r="I828" s="2"/>
      <c r="J828" s="2"/>
      <c r="K828" s="3">
        <v>43815</v>
      </c>
      <c r="L828" s="2"/>
      <c r="M828" s="2" t="s">
        <v>1493</v>
      </c>
      <c r="N828" s="2" t="s">
        <v>1494</v>
      </c>
    </row>
    <row r="829" spans="1:14" ht="15.75" customHeight="1" x14ac:dyDescent="0.35">
      <c r="A829" s="2"/>
      <c r="B829" s="2" cm="1">
        <f t="array" ref="B829">_xlfn.IFS(AND(LEN('Special Help Table'!$A829)-(LEN(SUBSTITUTE('Special Help Table'!$A829,";","")))=0,LEN('Special Help Table'!$A829)-LEN(SUBSTITUTE('Special Help Table'!$A829,",",""))=1,LEN('Special Help Table'!$A829)-LEN(SUBSTITUTE('Special Help Table'!$A829,"and ",""))=0),MID('Special Help Table'!$A829&amp;" "&amp;'Special Help Table'!$A829,SEARCH(", ",'Special Help Table'!$A829)+1,LEN('Special Help Table'!$A829)),AND(LEN('Special Help Table'!$A829)-(LEN(SUBSTITUTE('Special Help Table'!$A829,";","")))=1,LEN('Special Help Table'!$A829)-LEN(SUBSTITUTE('Special Help Table'!$A829,"and ",""))=0),MID('Special Help Table'!$A829,SEARCH(",",'Special Help Table'!$A829)+1,(SEARCH(";",'Special Help Table'!$A829)-1)-SEARCH(",",'Special Help Table'!$A829))&amp;" "&amp;LEFT('Special Help Table'!$A829,SEARCH(",",'Special Help Table'!$A829)-1)&amp;";"&amp;RIGHT('Special Help Table'!$A829,LEN('Special Help Table'!$A829)-SEARCH(",",'Special Help Table'!$A829,SEARCH(";",'Special Help Table'!$A829)))&amp;" "&amp;MID('Special Help Table'!$A829,SEARCH("; ",'Special Help Table'!$A829)+2,SEARCH(",",'Special Help Table'!$A829,SEARCH(";",'Special Help Table'!$A829))-SEARCH(";",'Special Help Table'!$A829)-2),AND(LEN('Special Help Table'!$A829)-LEN(SUBSTITUTE('Special Help Table'!$A829,"and ",""))=0,LEN('Special Help Table'!$A829)-LEN(SUBSTITUTE('Special Help Table'!$A829,";",""))=0),'Special Help Table'!$A829,AND(LEN('Special Help Table'!$A829)-LEN(SUBSTITUTE('Special Help Table'!$A829,",","")=1),LEN('Special Help Table'!$A829)-LEN(SUBSTITUTE('Special Help Table'!$A829," ","")=20),LEN('Special Help Table'!$A829)-LEN(SUBSTITUTE('Special Help Table'!$A829," and",""))=0,LEN('Special Help Table'!$A829)-LEN(SUBSTITUTE('Special Help Table'!$A829,",","",FIND(" ",'Special Help Table'!$A829)+1))=0),RIGHT('Special Help Table'!$A829,LEN('Special Help Table'!$A829)-FIND(", ",'Special Help Table'!$A829))&amp;" "&amp;LEFT('Special Help Table'!$A829,FIND(",",'Special Help Table'!$A829)-1),AND(LEN('Special Help Table'!$A829)-LEN(SUBSTITUTE('Special Help Table'!$A829,"editor",""))=6,LEN('Special Help Table'!$A829)-LEN(SUBSTITUTE('Special Help Table'!$A829,"(",""))=0,LEN('Special Help Table'!$A829)-LEN(SUBSTITUTE('Special Help Table'!$A829,"and",""))=3,LEN('Special Help Table'!$A829)-LEN(SUBSTITUTE('Special Help Table'!$A829,",",""))=1,LEN('Special Help Table'!$A829)-LEN(SUBSTITUTE('Special Help Table'!$A829," ",""))=3),'Special Help Table'!$A829)</f>
        <v>0</v>
      </c>
      <c r="C829" s="4" t="s">
        <v>1513</v>
      </c>
      <c r="D829" s="2"/>
      <c r="E829" s="2" t="s">
        <v>1491</v>
      </c>
      <c r="F829" s="2" t="s">
        <v>1492</v>
      </c>
      <c r="G829" s="2"/>
      <c r="H829" s="2"/>
      <c r="I829" s="2"/>
      <c r="J829" s="2"/>
      <c r="K829" s="3">
        <v>43988</v>
      </c>
      <c r="L829" s="2"/>
      <c r="M829" s="2" t="s">
        <v>1514</v>
      </c>
      <c r="N829" s="2" t="s">
        <v>1494</v>
      </c>
    </row>
    <row r="830" spans="1:14" ht="15.75" customHeight="1" x14ac:dyDescent="0.35">
      <c r="A830" s="2"/>
      <c r="B830" s="2" cm="1">
        <f t="array" ref="B830">_xlfn.IFS(AND(LEN('Special Help Table'!$A830)-(LEN(SUBSTITUTE('Special Help Table'!$A830,";","")))=0,LEN('Special Help Table'!$A830)-LEN(SUBSTITUTE('Special Help Table'!$A830,",",""))=1,LEN('Special Help Table'!$A830)-LEN(SUBSTITUTE('Special Help Table'!$A830,"and ",""))=0),MID('Special Help Table'!$A830&amp;" "&amp;'Special Help Table'!$A830,SEARCH(", ",'Special Help Table'!$A830)+1,LEN('Special Help Table'!$A830)),AND(LEN('Special Help Table'!$A830)-(LEN(SUBSTITUTE('Special Help Table'!$A830,";","")))=1,LEN('Special Help Table'!$A830)-LEN(SUBSTITUTE('Special Help Table'!$A830,"and ",""))=0),MID('Special Help Table'!$A830,SEARCH(",",'Special Help Table'!$A830)+1,(SEARCH(";",'Special Help Table'!$A830)-1)-SEARCH(",",'Special Help Table'!$A830))&amp;" "&amp;LEFT('Special Help Table'!$A830,SEARCH(",",'Special Help Table'!$A830)-1)&amp;";"&amp;RIGHT('Special Help Table'!$A830,LEN('Special Help Table'!$A830)-SEARCH(",",'Special Help Table'!$A830,SEARCH(";",'Special Help Table'!$A830)))&amp;" "&amp;MID('Special Help Table'!$A830,SEARCH("; ",'Special Help Table'!$A830)+2,SEARCH(",",'Special Help Table'!$A830,SEARCH(";",'Special Help Table'!$A830))-SEARCH(";",'Special Help Table'!$A830)-2),AND(LEN('Special Help Table'!$A830)-LEN(SUBSTITUTE('Special Help Table'!$A830,"and ",""))=0,LEN('Special Help Table'!$A830)-LEN(SUBSTITUTE('Special Help Table'!$A830,";",""))=0),'Special Help Table'!$A830,AND(LEN('Special Help Table'!$A830)-LEN(SUBSTITUTE('Special Help Table'!$A830,",","")=1),LEN('Special Help Table'!$A830)-LEN(SUBSTITUTE('Special Help Table'!$A830," ","")=20),LEN('Special Help Table'!$A830)-LEN(SUBSTITUTE('Special Help Table'!$A830," and",""))=0,LEN('Special Help Table'!$A830)-LEN(SUBSTITUTE('Special Help Table'!$A830,",","",FIND(" ",'Special Help Table'!$A830)+1))=0),RIGHT('Special Help Table'!$A830,LEN('Special Help Table'!$A830)-FIND(", ",'Special Help Table'!$A830))&amp;" "&amp;LEFT('Special Help Table'!$A830,FIND(",",'Special Help Table'!$A830)-1),AND(LEN('Special Help Table'!$A830)-LEN(SUBSTITUTE('Special Help Table'!$A830,"editor",""))=6,LEN('Special Help Table'!$A830)-LEN(SUBSTITUTE('Special Help Table'!$A830,"(",""))=0,LEN('Special Help Table'!$A830)-LEN(SUBSTITUTE('Special Help Table'!$A830,"and",""))=3,LEN('Special Help Table'!$A830)-LEN(SUBSTITUTE('Special Help Table'!$A830,",",""))=1,LEN('Special Help Table'!$A830)-LEN(SUBSTITUTE('Special Help Table'!$A830," ",""))=3),'Special Help Table'!$A830)</f>
        <v>0</v>
      </c>
      <c r="C830" s="4" t="s">
        <v>1515</v>
      </c>
      <c r="D830" s="2"/>
      <c r="E830" s="2" t="s">
        <v>1491</v>
      </c>
      <c r="F830" s="2" t="s">
        <v>1492</v>
      </c>
      <c r="G830" s="2"/>
      <c r="H830" s="2"/>
      <c r="I830" s="2"/>
      <c r="J830" s="2"/>
      <c r="K830" s="3">
        <v>40644</v>
      </c>
      <c r="L830" s="2"/>
      <c r="M830" s="2" t="s">
        <v>1493</v>
      </c>
      <c r="N830" s="2" t="s">
        <v>1494</v>
      </c>
    </row>
    <row r="831" spans="1:14" ht="15.75" customHeight="1" x14ac:dyDescent="0.35">
      <c r="A831" s="2"/>
      <c r="B831" s="2" cm="1">
        <f t="array" ref="B831">_xlfn.IFS(AND(LEN('Special Help Table'!$A831)-(LEN(SUBSTITUTE('Special Help Table'!$A831,";","")))=0,LEN('Special Help Table'!$A831)-LEN(SUBSTITUTE('Special Help Table'!$A831,",",""))=1,LEN('Special Help Table'!$A831)-LEN(SUBSTITUTE('Special Help Table'!$A831,"and ",""))=0),MID('Special Help Table'!$A831&amp;" "&amp;'Special Help Table'!$A831,SEARCH(", ",'Special Help Table'!$A831)+1,LEN('Special Help Table'!$A831)),AND(LEN('Special Help Table'!$A831)-(LEN(SUBSTITUTE('Special Help Table'!$A831,";","")))=1,LEN('Special Help Table'!$A831)-LEN(SUBSTITUTE('Special Help Table'!$A831,"and ",""))=0),MID('Special Help Table'!$A831,SEARCH(",",'Special Help Table'!$A831)+1,(SEARCH(";",'Special Help Table'!$A831)-1)-SEARCH(",",'Special Help Table'!$A831))&amp;" "&amp;LEFT('Special Help Table'!$A831,SEARCH(",",'Special Help Table'!$A831)-1)&amp;";"&amp;RIGHT('Special Help Table'!$A831,LEN('Special Help Table'!$A831)-SEARCH(",",'Special Help Table'!$A831,SEARCH(";",'Special Help Table'!$A831)))&amp;" "&amp;MID('Special Help Table'!$A831,SEARCH("; ",'Special Help Table'!$A831)+2,SEARCH(",",'Special Help Table'!$A831,SEARCH(";",'Special Help Table'!$A831))-SEARCH(";",'Special Help Table'!$A831)-2),AND(LEN('Special Help Table'!$A831)-LEN(SUBSTITUTE('Special Help Table'!$A831,"and ",""))=0,LEN('Special Help Table'!$A831)-LEN(SUBSTITUTE('Special Help Table'!$A831,";",""))=0),'Special Help Table'!$A831,AND(LEN('Special Help Table'!$A831)-LEN(SUBSTITUTE('Special Help Table'!$A831,",","")=1),LEN('Special Help Table'!$A831)-LEN(SUBSTITUTE('Special Help Table'!$A831," ","")=20),LEN('Special Help Table'!$A831)-LEN(SUBSTITUTE('Special Help Table'!$A831," and",""))=0,LEN('Special Help Table'!$A831)-LEN(SUBSTITUTE('Special Help Table'!$A831,",","",FIND(" ",'Special Help Table'!$A831)+1))=0),RIGHT('Special Help Table'!$A831,LEN('Special Help Table'!$A831)-FIND(", ",'Special Help Table'!$A831))&amp;" "&amp;LEFT('Special Help Table'!$A831,FIND(",",'Special Help Table'!$A831)-1),AND(LEN('Special Help Table'!$A831)-LEN(SUBSTITUTE('Special Help Table'!$A831,"editor",""))=6,LEN('Special Help Table'!$A831)-LEN(SUBSTITUTE('Special Help Table'!$A831,"(",""))=0,LEN('Special Help Table'!$A831)-LEN(SUBSTITUTE('Special Help Table'!$A831,"and",""))=3,LEN('Special Help Table'!$A831)-LEN(SUBSTITUTE('Special Help Table'!$A831,",",""))=1,LEN('Special Help Table'!$A831)-LEN(SUBSTITUTE('Special Help Table'!$A831," ",""))=3),'Special Help Table'!$A831)</f>
        <v>0</v>
      </c>
      <c r="C831" s="4" t="s">
        <v>1516</v>
      </c>
      <c r="D831" s="2"/>
      <c r="E831" s="2" t="s">
        <v>1491</v>
      </c>
      <c r="F831" s="2" t="s">
        <v>1492</v>
      </c>
      <c r="G831" s="2"/>
      <c r="H831" s="2"/>
      <c r="I831" s="2"/>
      <c r="J831" s="2"/>
      <c r="K831" s="3">
        <v>44590</v>
      </c>
      <c r="L831" s="2"/>
      <c r="M831" s="2"/>
      <c r="N831" s="2" t="s">
        <v>1494</v>
      </c>
    </row>
    <row r="832" spans="1:14" ht="15.75" customHeight="1" x14ac:dyDescent="0.35">
      <c r="A832" s="2"/>
      <c r="B832" s="2" cm="1">
        <f t="array" ref="B832">_xlfn.IFS(AND(LEN('Special Help Table'!$A832)-(LEN(SUBSTITUTE('Special Help Table'!$A832,";","")))=0,LEN('Special Help Table'!$A832)-LEN(SUBSTITUTE('Special Help Table'!$A832,",",""))=1,LEN('Special Help Table'!$A832)-LEN(SUBSTITUTE('Special Help Table'!$A832,"and ",""))=0),MID('Special Help Table'!$A832&amp;" "&amp;'Special Help Table'!$A832,SEARCH(", ",'Special Help Table'!$A832)+1,LEN('Special Help Table'!$A832)),AND(LEN('Special Help Table'!$A832)-(LEN(SUBSTITUTE('Special Help Table'!$A832,";","")))=1,LEN('Special Help Table'!$A832)-LEN(SUBSTITUTE('Special Help Table'!$A832,"and ",""))=0),MID('Special Help Table'!$A832,SEARCH(",",'Special Help Table'!$A832)+1,(SEARCH(";",'Special Help Table'!$A832)-1)-SEARCH(",",'Special Help Table'!$A832))&amp;" "&amp;LEFT('Special Help Table'!$A832,SEARCH(",",'Special Help Table'!$A832)-1)&amp;";"&amp;RIGHT('Special Help Table'!$A832,LEN('Special Help Table'!$A832)-SEARCH(",",'Special Help Table'!$A832,SEARCH(";",'Special Help Table'!$A832)))&amp;" "&amp;MID('Special Help Table'!$A832,SEARCH("; ",'Special Help Table'!$A832)+2,SEARCH(",",'Special Help Table'!$A832,SEARCH(";",'Special Help Table'!$A832))-SEARCH(";",'Special Help Table'!$A832)-2),AND(LEN('Special Help Table'!$A832)-LEN(SUBSTITUTE('Special Help Table'!$A832,"and ",""))=0,LEN('Special Help Table'!$A832)-LEN(SUBSTITUTE('Special Help Table'!$A832,";",""))=0),'Special Help Table'!$A832,AND(LEN('Special Help Table'!$A832)-LEN(SUBSTITUTE('Special Help Table'!$A832,",","")=1),LEN('Special Help Table'!$A832)-LEN(SUBSTITUTE('Special Help Table'!$A832," ","")=20),LEN('Special Help Table'!$A832)-LEN(SUBSTITUTE('Special Help Table'!$A832," and",""))=0,LEN('Special Help Table'!$A832)-LEN(SUBSTITUTE('Special Help Table'!$A832,",","",FIND(" ",'Special Help Table'!$A832)+1))=0),RIGHT('Special Help Table'!$A832,LEN('Special Help Table'!$A832)-FIND(", ",'Special Help Table'!$A832))&amp;" "&amp;LEFT('Special Help Table'!$A832,FIND(",",'Special Help Table'!$A832)-1),AND(LEN('Special Help Table'!$A832)-LEN(SUBSTITUTE('Special Help Table'!$A832,"editor",""))=6,LEN('Special Help Table'!$A832)-LEN(SUBSTITUTE('Special Help Table'!$A832,"(",""))=0,LEN('Special Help Table'!$A832)-LEN(SUBSTITUTE('Special Help Table'!$A832,"and",""))=3,LEN('Special Help Table'!$A832)-LEN(SUBSTITUTE('Special Help Table'!$A832,",",""))=1,LEN('Special Help Table'!$A832)-LEN(SUBSTITUTE('Special Help Table'!$A832," ",""))=3),'Special Help Table'!$A832)</f>
        <v>0</v>
      </c>
      <c r="C832" s="4" t="s">
        <v>1517</v>
      </c>
      <c r="D832" s="2"/>
      <c r="E832" s="2" t="s">
        <v>1491</v>
      </c>
      <c r="F832" s="2" t="s">
        <v>1492</v>
      </c>
      <c r="G832" s="2"/>
      <c r="H832" s="2"/>
      <c r="I832" s="2"/>
      <c r="J832" s="2"/>
      <c r="K832" s="3">
        <v>40644</v>
      </c>
      <c r="L832" s="2"/>
      <c r="M832" s="2" t="s">
        <v>1493</v>
      </c>
      <c r="N832" s="2" t="s">
        <v>1494</v>
      </c>
    </row>
    <row r="833" spans="1:14" ht="15.75" customHeight="1" x14ac:dyDescent="0.35">
      <c r="A833" s="2"/>
      <c r="B833" s="2" cm="1">
        <f t="array" ref="B833">_xlfn.IFS(AND(LEN('Special Help Table'!$A833)-(LEN(SUBSTITUTE('Special Help Table'!$A833,";","")))=0,LEN('Special Help Table'!$A833)-LEN(SUBSTITUTE('Special Help Table'!$A833,",",""))=1,LEN('Special Help Table'!$A833)-LEN(SUBSTITUTE('Special Help Table'!$A833,"and ",""))=0),MID('Special Help Table'!$A833&amp;" "&amp;'Special Help Table'!$A833,SEARCH(", ",'Special Help Table'!$A833)+1,LEN('Special Help Table'!$A833)),AND(LEN('Special Help Table'!$A833)-(LEN(SUBSTITUTE('Special Help Table'!$A833,";","")))=1,LEN('Special Help Table'!$A833)-LEN(SUBSTITUTE('Special Help Table'!$A833,"and ",""))=0),MID('Special Help Table'!$A833,SEARCH(",",'Special Help Table'!$A833)+1,(SEARCH(";",'Special Help Table'!$A833)-1)-SEARCH(",",'Special Help Table'!$A833))&amp;" "&amp;LEFT('Special Help Table'!$A833,SEARCH(",",'Special Help Table'!$A833)-1)&amp;";"&amp;RIGHT('Special Help Table'!$A833,LEN('Special Help Table'!$A833)-SEARCH(",",'Special Help Table'!$A833,SEARCH(";",'Special Help Table'!$A833)))&amp;" "&amp;MID('Special Help Table'!$A833,SEARCH("; ",'Special Help Table'!$A833)+2,SEARCH(",",'Special Help Table'!$A833,SEARCH(";",'Special Help Table'!$A833))-SEARCH(";",'Special Help Table'!$A833)-2),AND(LEN('Special Help Table'!$A833)-LEN(SUBSTITUTE('Special Help Table'!$A833,"and ",""))=0,LEN('Special Help Table'!$A833)-LEN(SUBSTITUTE('Special Help Table'!$A833,";",""))=0),'Special Help Table'!$A833,AND(LEN('Special Help Table'!$A833)-LEN(SUBSTITUTE('Special Help Table'!$A833,",","")=1),LEN('Special Help Table'!$A833)-LEN(SUBSTITUTE('Special Help Table'!$A833," ","")=20),LEN('Special Help Table'!$A833)-LEN(SUBSTITUTE('Special Help Table'!$A833," and",""))=0,LEN('Special Help Table'!$A833)-LEN(SUBSTITUTE('Special Help Table'!$A833,",","",FIND(" ",'Special Help Table'!$A833)+1))=0),RIGHT('Special Help Table'!$A833,LEN('Special Help Table'!$A833)-FIND(", ",'Special Help Table'!$A833))&amp;" "&amp;LEFT('Special Help Table'!$A833,FIND(",",'Special Help Table'!$A833)-1),AND(LEN('Special Help Table'!$A833)-LEN(SUBSTITUTE('Special Help Table'!$A833,"editor",""))=6,LEN('Special Help Table'!$A833)-LEN(SUBSTITUTE('Special Help Table'!$A833,"(",""))=0,LEN('Special Help Table'!$A833)-LEN(SUBSTITUTE('Special Help Table'!$A833,"and",""))=3,LEN('Special Help Table'!$A833)-LEN(SUBSTITUTE('Special Help Table'!$A833,",",""))=1,LEN('Special Help Table'!$A833)-LEN(SUBSTITUTE('Special Help Table'!$A833," ",""))=3),'Special Help Table'!$A833)</f>
        <v>0</v>
      </c>
      <c r="C833" s="4" t="s">
        <v>1518</v>
      </c>
      <c r="D833" s="2"/>
      <c r="E833" s="2" t="s">
        <v>1491</v>
      </c>
      <c r="F833" s="2" t="s">
        <v>1492</v>
      </c>
      <c r="G833" s="2"/>
      <c r="H833" s="2"/>
      <c r="I833" s="2"/>
      <c r="J833" s="2"/>
      <c r="K833" s="3">
        <v>42705</v>
      </c>
      <c r="L833" s="2"/>
      <c r="M833" s="2" t="s">
        <v>1493</v>
      </c>
      <c r="N833" s="2" t="s">
        <v>1494</v>
      </c>
    </row>
    <row r="834" spans="1:14" ht="15.75" customHeight="1" x14ac:dyDescent="0.35">
      <c r="A834" s="2"/>
      <c r="B834" s="2" cm="1">
        <f t="array" ref="B834">_xlfn.IFS(AND(LEN('Special Help Table'!$A834)-(LEN(SUBSTITUTE('Special Help Table'!$A834,";","")))=0,LEN('Special Help Table'!$A834)-LEN(SUBSTITUTE('Special Help Table'!$A834,",",""))=1,LEN('Special Help Table'!$A834)-LEN(SUBSTITUTE('Special Help Table'!$A834,"and ",""))=0),MID('Special Help Table'!$A834&amp;" "&amp;'Special Help Table'!$A834,SEARCH(", ",'Special Help Table'!$A834)+1,LEN('Special Help Table'!$A834)),AND(LEN('Special Help Table'!$A834)-(LEN(SUBSTITUTE('Special Help Table'!$A834,";","")))=1,LEN('Special Help Table'!$A834)-LEN(SUBSTITUTE('Special Help Table'!$A834,"and ",""))=0),MID('Special Help Table'!$A834,SEARCH(",",'Special Help Table'!$A834)+1,(SEARCH(";",'Special Help Table'!$A834)-1)-SEARCH(",",'Special Help Table'!$A834))&amp;" "&amp;LEFT('Special Help Table'!$A834,SEARCH(",",'Special Help Table'!$A834)-1)&amp;";"&amp;RIGHT('Special Help Table'!$A834,LEN('Special Help Table'!$A834)-SEARCH(",",'Special Help Table'!$A834,SEARCH(";",'Special Help Table'!$A834)))&amp;" "&amp;MID('Special Help Table'!$A834,SEARCH("; ",'Special Help Table'!$A834)+2,SEARCH(",",'Special Help Table'!$A834,SEARCH(";",'Special Help Table'!$A834))-SEARCH(";",'Special Help Table'!$A834)-2),AND(LEN('Special Help Table'!$A834)-LEN(SUBSTITUTE('Special Help Table'!$A834,"and ",""))=0,LEN('Special Help Table'!$A834)-LEN(SUBSTITUTE('Special Help Table'!$A834,";",""))=0),'Special Help Table'!$A834,AND(LEN('Special Help Table'!$A834)-LEN(SUBSTITUTE('Special Help Table'!$A834,",","")=1),LEN('Special Help Table'!$A834)-LEN(SUBSTITUTE('Special Help Table'!$A834," ","")=20),LEN('Special Help Table'!$A834)-LEN(SUBSTITUTE('Special Help Table'!$A834," and",""))=0,LEN('Special Help Table'!$A834)-LEN(SUBSTITUTE('Special Help Table'!$A834,",","",FIND(" ",'Special Help Table'!$A834)+1))=0),RIGHT('Special Help Table'!$A834,LEN('Special Help Table'!$A834)-FIND(", ",'Special Help Table'!$A834))&amp;" "&amp;LEFT('Special Help Table'!$A834,FIND(",",'Special Help Table'!$A834)-1),AND(LEN('Special Help Table'!$A834)-LEN(SUBSTITUTE('Special Help Table'!$A834,"editor",""))=6,LEN('Special Help Table'!$A834)-LEN(SUBSTITUTE('Special Help Table'!$A834,"(",""))=0,LEN('Special Help Table'!$A834)-LEN(SUBSTITUTE('Special Help Table'!$A834,"and",""))=3,LEN('Special Help Table'!$A834)-LEN(SUBSTITUTE('Special Help Table'!$A834,",",""))=1,LEN('Special Help Table'!$A834)-LEN(SUBSTITUTE('Special Help Table'!$A834," ",""))=3),'Special Help Table'!$A834)</f>
        <v>0</v>
      </c>
      <c r="C834" s="4" t="s">
        <v>1519</v>
      </c>
      <c r="D834" s="2"/>
      <c r="E834" s="2" t="s">
        <v>1491</v>
      </c>
      <c r="F834" s="2" t="s">
        <v>1492</v>
      </c>
      <c r="G834" s="2"/>
      <c r="H834" s="2"/>
      <c r="I834" s="2"/>
      <c r="J834" s="2"/>
      <c r="K834" s="3">
        <v>43023</v>
      </c>
      <c r="L834" s="2"/>
      <c r="M834" s="2"/>
      <c r="N834" s="2" t="s">
        <v>1494</v>
      </c>
    </row>
    <row r="835" spans="1:14" ht="15.75" customHeight="1" x14ac:dyDescent="0.35">
      <c r="A835" s="2"/>
      <c r="B835" s="2" cm="1">
        <f t="array" ref="B835">_xlfn.IFS(AND(LEN('Special Help Table'!$A835)-(LEN(SUBSTITUTE('Special Help Table'!$A835,";","")))=0,LEN('Special Help Table'!$A835)-LEN(SUBSTITUTE('Special Help Table'!$A835,",",""))=1,LEN('Special Help Table'!$A835)-LEN(SUBSTITUTE('Special Help Table'!$A835,"and ",""))=0),MID('Special Help Table'!$A835&amp;" "&amp;'Special Help Table'!$A835,SEARCH(", ",'Special Help Table'!$A835)+1,LEN('Special Help Table'!$A835)),AND(LEN('Special Help Table'!$A835)-(LEN(SUBSTITUTE('Special Help Table'!$A835,";","")))=1,LEN('Special Help Table'!$A835)-LEN(SUBSTITUTE('Special Help Table'!$A835,"and ",""))=0),MID('Special Help Table'!$A835,SEARCH(",",'Special Help Table'!$A835)+1,(SEARCH(";",'Special Help Table'!$A835)-1)-SEARCH(",",'Special Help Table'!$A835))&amp;" "&amp;LEFT('Special Help Table'!$A835,SEARCH(",",'Special Help Table'!$A835)-1)&amp;";"&amp;RIGHT('Special Help Table'!$A835,LEN('Special Help Table'!$A835)-SEARCH(",",'Special Help Table'!$A835,SEARCH(";",'Special Help Table'!$A835)))&amp;" "&amp;MID('Special Help Table'!$A835,SEARCH("; ",'Special Help Table'!$A835)+2,SEARCH(",",'Special Help Table'!$A835,SEARCH(";",'Special Help Table'!$A835))-SEARCH(";",'Special Help Table'!$A835)-2),AND(LEN('Special Help Table'!$A835)-LEN(SUBSTITUTE('Special Help Table'!$A835,"and ",""))=0,LEN('Special Help Table'!$A835)-LEN(SUBSTITUTE('Special Help Table'!$A835,";",""))=0),'Special Help Table'!$A835,AND(LEN('Special Help Table'!$A835)-LEN(SUBSTITUTE('Special Help Table'!$A835,",","")=1),LEN('Special Help Table'!$A835)-LEN(SUBSTITUTE('Special Help Table'!$A835," ","")=20),LEN('Special Help Table'!$A835)-LEN(SUBSTITUTE('Special Help Table'!$A835," and",""))=0,LEN('Special Help Table'!$A835)-LEN(SUBSTITUTE('Special Help Table'!$A835,",","",FIND(" ",'Special Help Table'!$A835)+1))=0),RIGHT('Special Help Table'!$A835,LEN('Special Help Table'!$A835)-FIND(", ",'Special Help Table'!$A835))&amp;" "&amp;LEFT('Special Help Table'!$A835,FIND(",",'Special Help Table'!$A835)-1),AND(LEN('Special Help Table'!$A835)-LEN(SUBSTITUTE('Special Help Table'!$A835,"editor",""))=6,LEN('Special Help Table'!$A835)-LEN(SUBSTITUTE('Special Help Table'!$A835,"(",""))=0,LEN('Special Help Table'!$A835)-LEN(SUBSTITUTE('Special Help Table'!$A835,"and",""))=3,LEN('Special Help Table'!$A835)-LEN(SUBSTITUTE('Special Help Table'!$A835,",",""))=1,LEN('Special Help Table'!$A835)-LEN(SUBSTITUTE('Special Help Table'!$A835," ",""))=3),'Special Help Table'!$A835)</f>
        <v>0</v>
      </c>
      <c r="C835" s="4" t="s">
        <v>1520</v>
      </c>
      <c r="D835" s="2"/>
      <c r="E835" s="2" t="s">
        <v>1491</v>
      </c>
      <c r="F835" s="2" t="s">
        <v>1492</v>
      </c>
      <c r="G835" s="2"/>
      <c r="H835" s="2"/>
      <c r="I835" s="2"/>
      <c r="J835" s="2"/>
      <c r="K835" s="3">
        <v>41346</v>
      </c>
      <c r="L835" s="2"/>
      <c r="M835" s="2" t="s">
        <v>1493</v>
      </c>
      <c r="N835" s="2" t="s">
        <v>1494</v>
      </c>
    </row>
    <row r="836" spans="1:14" ht="15.75" customHeight="1" x14ac:dyDescent="0.35">
      <c r="A836" s="2"/>
      <c r="B836" s="2" cm="1">
        <f t="array" ref="B836">_xlfn.IFS(AND(LEN('Special Help Table'!$A836)-(LEN(SUBSTITUTE('Special Help Table'!$A836,";","")))=0,LEN('Special Help Table'!$A836)-LEN(SUBSTITUTE('Special Help Table'!$A836,",",""))=1,LEN('Special Help Table'!$A836)-LEN(SUBSTITUTE('Special Help Table'!$A836,"and ",""))=0),MID('Special Help Table'!$A836&amp;" "&amp;'Special Help Table'!$A836,SEARCH(", ",'Special Help Table'!$A836)+1,LEN('Special Help Table'!$A836)),AND(LEN('Special Help Table'!$A836)-(LEN(SUBSTITUTE('Special Help Table'!$A836,";","")))=1,LEN('Special Help Table'!$A836)-LEN(SUBSTITUTE('Special Help Table'!$A836,"and ",""))=0),MID('Special Help Table'!$A836,SEARCH(",",'Special Help Table'!$A836)+1,(SEARCH(";",'Special Help Table'!$A836)-1)-SEARCH(",",'Special Help Table'!$A836))&amp;" "&amp;LEFT('Special Help Table'!$A836,SEARCH(",",'Special Help Table'!$A836)-1)&amp;";"&amp;RIGHT('Special Help Table'!$A836,LEN('Special Help Table'!$A836)-SEARCH(",",'Special Help Table'!$A836,SEARCH(";",'Special Help Table'!$A836)))&amp;" "&amp;MID('Special Help Table'!$A836,SEARCH("; ",'Special Help Table'!$A836)+2,SEARCH(",",'Special Help Table'!$A836,SEARCH(";",'Special Help Table'!$A836))-SEARCH(";",'Special Help Table'!$A836)-2),AND(LEN('Special Help Table'!$A836)-LEN(SUBSTITUTE('Special Help Table'!$A836,"and ",""))=0,LEN('Special Help Table'!$A836)-LEN(SUBSTITUTE('Special Help Table'!$A836,";",""))=0),'Special Help Table'!$A836,AND(LEN('Special Help Table'!$A836)-LEN(SUBSTITUTE('Special Help Table'!$A836,",","")=1),LEN('Special Help Table'!$A836)-LEN(SUBSTITUTE('Special Help Table'!$A836," ","")=20),LEN('Special Help Table'!$A836)-LEN(SUBSTITUTE('Special Help Table'!$A836," and",""))=0,LEN('Special Help Table'!$A836)-LEN(SUBSTITUTE('Special Help Table'!$A836,",","",FIND(" ",'Special Help Table'!$A836)+1))=0),RIGHT('Special Help Table'!$A836,LEN('Special Help Table'!$A836)-FIND(", ",'Special Help Table'!$A836))&amp;" "&amp;LEFT('Special Help Table'!$A836,FIND(",",'Special Help Table'!$A836)-1),AND(LEN('Special Help Table'!$A836)-LEN(SUBSTITUTE('Special Help Table'!$A836,"editor",""))=6,LEN('Special Help Table'!$A836)-LEN(SUBSTITUTE('Special Help Table'!$A836,"(",""))=0,LEN('Special Help Table'!$A836)-LEN(SUBSTITUTE('Special Help Table'!$A836,"and",""))=3,LEN('Special Help Table'!$A836)-LEN(SUBSTITUTE('Special Help Table'!$A836,",",""))=1,LEN('Special Help Table'!$A836)-LEN(SUBSTITUTE('Special Help Table'!$A836," ",""))=3),'Special Help Table'!$A836)</f>
        <v>0</v>
      </c>
      <c r="C836" s="4" t="s">
        <v>1521</v>
      </c>
      <c r="D836" s="2"/>
      <c r="E836" s="2" t="s">
        <v>1491</v>
      </c>
      <c r="F836" s="2" t="s">
        <v>1492</v>
      </c>
      <c r="G836" s="2"/>
      <c r="H836" s="2"/>
      <c r="I836" s="2"/>
      <c r="J836" s="2"/>
      <c r="K836" s="3">
        <v>44578</v>
      </c>
      <c r="L836" s="2"/>
      <c r="M836" s="2"/>
      <c r="N836" s="2" t="s">
        <v>1494</v>
      </c>
    </row>
    <row r="837" spans="1:14" ht="15.75" customHeight="1" x14ac:dyDescent="0.35">
      <c r="A837" s="2"/>
      <c r="B837" s="2" cm="1">
        <f t="array" ref="B837">_xlfn.IFS(AND(LEN('Special Help Table'!$A837)-(LEN(SUBSTITUTE('Special Help Table'!$A837,";","")))=0,LEN('Special Help Table'!$A837)-LEN(SUBSTITUTE('Special Help Table'!$A837,",",""))=1,LEN('Special Help Table'!$A837)-LEN(SUBSTITUTE('Special Help Table'!$A837,"and ",""))=0),MID('Special Help Table'!$A837&amp;" "&amp;'Special Help Table'!$A837,SEARCH(", ",'Special Help Table'!$A837)+1,LEN('Special Help Table'!$A837)),AND(LEN('Special Help Table'!$A837)-(LEN(SUBSTITUTE('Special Help Table'!$A837,";","")))=1,LEN('Special Help Table'!$A837)-LEN(SUBSTITUTE('Special Help Table'!$A837,"and ",""))=0),MID('Special Help Table'!$A837,SEARCH(",",'Special Help Table'!$A837)+1,(SEARCH(";",'Special Help Table'!$A837)-1)-SEARCH(",",'Special Help Table'!$A837))&amp;" "&amp;LEFT('Special Help Table'!$A837,SEARCH(",",'Special Help Table'!$A837)-1)&amp;";"&amp;RIGHT('Special Help Table'!$A837,LEN('Special Help Table'!$A837)-SEARCH(",",'Special Help Table'!$A837,SEARCH(";",'Special Help Table'!$A837)))&amp;" "&amp;MID('Special Help Table'!$A837,SEARCH("; ",'Special Help Table'!$A837)+2,SEARCH(",",'Special Help Table'!$A837,SEARCH(";",'Special Help Table'!$A837))-SEARCH(";",'Special Help Table'!$A837)-2),AND(LEN('Special Help Table'!$A837)-LEN(SUBSTITUTE('Special Help Table'!$A837,"and ",""))=0,LEN('Special Help Table'!$A837)-LEN(SUBSTITUTE('Special Help Table'!$A837,";",""))=0),'Special Help Table'!$A837,AND(LEN('Special Help Table'!$A837)-LEN(SUBSTITUTE('Special Help Table'!$A837,",","")=1),LEN('Special Help Table'!$A837)-LEN(SUBSTITUTE('Special Help Table'!$A837," ","")=20),LEN('Special Help Table'!$A837)-LEN(SUBSTITUTE('Special Help Table'!$A837," and",""))=0,LEN('Special Help Table'!$A837)-LEN(SUBSTITUTE('Special Help Table'!$A837,",","",FIND(" ",'Special Help Table'!$A837)+1))=0),RIGHT('Special Help Table'!$A837,LEN('Special Help Table'!$A837)-FIND(", ",'Special Help Table'!$A837))&amp;" "&amp;LEFT('Special Help Table'!$A837,FIND(",",'Special Help Table'!$A837)-1),AND(LEN('Special Help Table'!$A837)-LEN(SUBSTITUTE('Special Help Table'!$A837,"editor",""))=6,LEN('Special Help Table'!$A837)-LEN(SUBSTITUTE('Special Help Table'!$A837,"(",""))=0,LEN('Special Help Table'!$A837)-LEN(SUBSTITUTE('Special Help Table'!$A837,"and",""))=3,LEN('Special Help Table'!$A837)-LEN(SUBSTITUTE('Special Help Table'!$A837,",",""))=1,LEN('Special Help Table'!$A837)-LEN(SUBSTITUTE('Special Help Table'!$A837," ",""))=3),'Special Help Table'!$A837)</f>
        <v>0</v>
      </c>
      <c r="C837" s="4" t="s">
        <v>1522</v>
      </c>
      <c r="D837" s="2"/>
      <c r="E837" s="2" t="s">
        <v>1491</v>
      </c>
      <c r="F837" s="2" t="s">
        <v>1492</v>
      </c>
      <c r="G837" s="2"/>
      <c r="H837" s="2"/>
      <c r="I837" s="2"/>
      <c r="J837" s="2"/>
      <c r="K837" s="3">
        <v>41346</v>
      </c>
      <c r="L837" s="2"/>
      <c r="M837" s="2" t="s">
        <v>1493</v>
      </c>
      <c r="N837" s="2" t="s">
        <v>1494</v>
      </c>
    </row>
    <row r="838" spans="1:14" ht="15.75" customHeight="1" x14ac:dyDescent="0.35">
      <c r="A838" s="2"/>
      <c r="B838" s="2" cm="1">
        <f t="array" ref="B838">_xlfn.IFS(AND(LEN('Special Help Table'!$A838)-(LEN(SUBSTITUTE('Special Help Table'!$A838,";","")))=0,LEN('Special Help Table'!$A838)-LEN(SUBSTITUTE('Special Help Table'!$A838,",",""))=1,LEN('Special Help Table'!$A838)-LEN(SUBSTITUTE('Special Help Table'!$A838,"and ",""))=0),MID('Special Help Table'!$A838&amp;" "&amp;'Special Help Table'!$A838,SEARCH(", ",'Special Help Table'!$A838)+1,LEN('Special Help Table'!$A838)),AND(LEN('Special Help Table'!$A838)-(LEN(SUBSTITUTE('Special Help Table'!$A838,";","")))=1,LEN('Special Help Table'!$A838)-LEN(SUBSTITUTE('Special Help Table'!$A838,"and ",""))=0),MID('Special Help Table'!$A838,SEARCH(",",'Special Help Table'!$A838)+1,(SEARCH(";",'Special Help Table'!$A838)-1)-SEARCH(",",'Special Help Table'!$A838))&amp;" "&amp;LEFT('Special Help Table'!$A838,SEARCH(",",'Special Help Table'!$A838)-1)&amp;";"&amp;RIGHT('Special Help Table'!$A838,LEN('Special Help Table'!$A838)-SEARCH(",",'Special Help Table'!$A838,SEARCH(";",'Special Help Table'!$A838)))&amp;" "&amp;MID('Special Help Table'!$A838,SEARCH("; ",'Special Help Table'!$A838)+2,SEARCH(",",'Special Help Table'!$A838,SEARCH(";",'Special Help Table'!$A838))-SEARCH(";",'Special Help Table'!$A838)-2),AND(LEN('Special Help Table'!$A838)-LEN(SUBSTITUTE('Special Help Table'!$A838,"and ",""))=0,LEN('Special Help Table'!$A838)-LEN(SUBSTITUTE('Special Help Table'!$A838,";",""))=0),'Special Help Table'!$A838,AND(LEN('Special Help Table'!$A838)-LEN(SUBSTITUTE('Special Help Table'!$A838,",","")=1),LEN('Special Help Table'!$A838)-LEN(SUBSTITUTE('Special Help Table'!$A838," ","")=20),LEN('Special Help Table'!$A838)-LEN(SUBSTITUTE('Special Help Table'!$A838," and",""))=0,LEN('Special Help Table'!$A838)-LEN(SUBSTITUTE('Special Help Table'!$A838,",","",FIND(" ",'Special Help Table'!$A838)+1))=0),RIGHT('Special Help Table'!$A838,LEN('Special Help Table'!$A838)-FIND(", ",'Special Help Table'!$A838))&amp;" "&amp;LEFT('Special Help Table'!$A838,FIND(",",'Special Help Table'!$A838)-1),AND(LEN('Special Help Table'!$A838)-LEN(SUBSTITUTE('Special Help Table'!$A838,"editor",""))=6,LEN('Special Help Table'!$A838)-LEN(SUBSTITUTE('Special Help Table'!$A838,"(",""))=0,LEN('Special Help Table'!$A838)-LEN(SUBSTITUTE('Special Help Table'!$A838,"and",""))=3,LEN('Special Help Table'!$A838)-LEN(SUBSTITUTE('Special Help Table'!$A838,",",""))=1,LEN('Special Help Table'!$A838)-LEN(SUBSTITUTE('Special Help Table'!$A838," ",""))=3),'Special Help Table'!$A838)</f>
        <v>0</v>
      </c>
      <c r="C838" s="4" t="s">
        <v>1523</v>
      </c>
      <c r="D838" s="2"/>
      <c r="E838" s="2" t="s">
        <v>1491</v>
      </c>
      <c r="F838" s="2" t="s">
        <v>1492</v>
      </c>
      <c r="G838" s="2"/>
      <c r="H838" s="2"/>
      <c r="I838" s="2"/>
      <c r="J838" s="2"/>
      <c r="K838" s="3">
        <v>40644</v>
      </c>
      <c r="L838" s="2"/>
      <c r="M838" s="2" t="s">
        <v>1493</v>
      </c>
      <c r="N838" s="2" t="s">
        <v>1494</v>
      </c>
    </row>
    <row r="839" spans="1:14" ht="15.75" customHeight="1" x14ac:dyDescent="0.35">
      <c r="A839" s="2"/>
      <c r="B839" s="2" cm="1">
        <f t="array" ref="B839">_xlfn.IFS(AND(LEN('Special Help Table'!$A839)-(LEN(SUBSTITUTE('Special Help Table'!$A839,";","")))=0,LEN('Special Help Table'!$A839)-LEN(SUBSTITUTE('Special Help Table'!$A839,",",""))=1,LEN('Special Help Table'!$A839)-LEN(SUBSTITUTE('Special Help Table'!$A839,"and ",""))=0),MID('Special Help Table'!$A839&amp;" "&amp;'Special Help Table'!$A839,SEARCH(", ",'Special Help Table'!$A839)+1,LEN('Special Help Table'!$A839)),AND(LEN('Special Help Table'!$A839)-(LEN(SUBSTITUTE('Special Help Table'!$A839,";","")))=1,LEN('Special Help Table'!$A839)-LEN(SUBSTITUTE('Special Help Table'!$A839,"and ",""))=0),MID('Special Help Table'!$A839,SEARCH(",",'Special Help Table'!$A839)+1,(SEARCH(";",'Special Help Table'!$A839)-1)-SEARCH(",",'Special Help Table'!$A839))&amp;" "&amp;LEFT('Special Help Table'!$A839,SEARCH(",",'Special Help Table'!$A839)-1)&amp;";"&amp;RIGHT('Special Help Table'!$A839,LEN('Special Help Table'!$A839)-SEARCH(",",'Special Help Table'!$A839,SEARCH(";",'Special Help Table'!$A839)))&amp;" "&amp;MID('Special Help Table'!$A839,SEARCH("; ",'Special Help Table'!$A839)+2,SEARCH(",",'Special Help Table'!$A839,SEARCH(";",'Special Help Table'!$A839))-SEARCH(";",'Special Help Table'!$A839)-2),AND(LEN('Special Help Table'!$A839)-LEN(SUBSTITUTE('Special Help Table'!$A839,"and ",""))=0,LEN('Special Help Table'!$A839)-LEN(SUBSTITUTE('Special Help Table'!$A839,";",""))=0),'Special Help Table'!$A839,AND(LEN('Special Help Table'!$A839)-LEN(SUBSTITUTE('Special Help Table'!$A839,",","")=1),LEN('Special Help Table'!$A839)-LEN(SUBSTITUTE('Special Help Table'!$A839," ","")=20),LEN('Special Help Table'!$A839)-LEN(SUBSTITUTE('Special Help Table'!$A839," and",""))=0,LEN('Special Help Table'!$A839)-LEN(SUBSTITUTE('Special Help Table'!$A839,",","",FIND(" ",'Special Help Table'!$A839)+1))=0),RIGHT('Special Help Table'!$A839,LEN('Special Help Table'!$A839)-FIND(", ",'Special Help Table'!$A839))&amp;" "&amp;LEFT('Special Help Table'!$A839,FIND(",",'Special Help Table'!$A839)-1),AND(LEN('Special Help Table'!$A839)-LEN(SUBSTITUTE('Special Help Table'!$A839,"editor",""))=6,LEN('Special Help Table'!$A839)-LEN(SUBSTITUTE('Special Help Table'!$A839,"(",""))=0,LEN('Special Help Table'!$A839)-LEN(SUBSTITUTE('Special Help Table'!$A839,"and",""))=3,LEN('Special Help Table'!$A839)-LEN(SUBSTITUTE('Special Help Table'!$A839,",",""))=1,LEN('Special Help Table'!$A839)-LEN(SUBSTITUTE('Special Help Table'!$A839," ",""))=3),'Special Help Table'!$A839)</f>
        <v>0</v>
      </c>
      <c r="C839" s="4" t="s">
        <v>1524</v>
      </c>
      <c r="D839" s="2"/>
      <c r="E839" s="2" t="s">
        <v>1491</v>
      </c>
      <c r="F839" s="2" t="s">
        <v>17</v>
      </c>
      <c r="G839" s="2"/>
      <c r="H839" s="2"/>
      <c r="I839" s="2"/>
      <c r="J839" s="2"/>
      <c r="K839" s="3"/>
      <c r="L839" s="2"/>
      <c r="M839" s="2" t="s">
        <v>1088</v>
      </c>
      <c r="N839" s="2" t="s">
        <v>1494</v>
      </c>
    </row>
    <row r="840" spans="1:14" ht="15.75" customHeight="1" x14ac:dyDescent="0.35">
      <c r="A840" s="2"/>
      <c r="B840" s="2" cm="1">
        <f t="array" ref="B840">_xlfn.IFS(AND(LEN('Special Help Table'!$A840)-(LEN(SUBSTITUTE('Special Help Table'!$A840,";","")))=0,LEN('Special Help Table'!$A840)-LEN(SUBSTITUTE('Special Help Table'!$A840,",",""))=1,LEN('Special Help Table'!$A840)-LEN(SUBSTITUTE('Special Help Table'!$A840,"and ",""))=0),MID('Special Help Table'!$A840&amp;" "&amp;'Special Help Table'!$A840,SEARCH(", ",'Special Help Table'!$A840)+1,LEN('Special Help Table'!$A840)),AND(LEN('Special Help Table'!$A840)-(LEN(SUBSTITUTE('Special Help Table'!$A840,";","")))=1,LEN('Special Help Table'!$A840)-LEN(SUBSTITUTE('Special Help Table'!$A840,"and ",""))=0),MID('Special Help Table'!$A840,SEARCH(",",'Special Help Table'!$A840)+1,(SEARCH(";",'Special Help Table'!$A840)-1)-SEARCH(",",'Special Help Table'!$A840))&amp;" "&amp;LEFT('Special Help Table'!$A840,SEARCH(",",'Special Help Table'!$A840)-1)&amp;";"&amp;RIGHT('Special Help Table'!$A840,LEN('Special Help Table'!$A840)-SEARCH(",",'Special Help Table'!$A840,SEARCH(";",'Special Help Table'!$A840)))&amp;" "&amp;MID('Special Help Table'!$A840,SEARCH("; ",'Special Help Table'!$A840)+2,SEARCH(",",'Special Help Table'!$A840,SEARCH(";",'Special Help Table'!$A840))-SEARCH(";",'Special Help Table'!$A840)-2),AND(LEN('Special Help Table'!$A840)-LEN(SUBSTITUTE('Special Help Table'!$A840,"and ",""))=0,LEN('Special Help Table'!$A840)-LEN(SUBSTITUTE('Special Help Table'!$A840,";",""))=0),'Special Help Table'!$A840,AND(LEN('Special Help Table'!$A840)-LEN(SUBSTITUTE('Special Help Table'!$A840,",","")=1),LEN('Special Help Table'!$A840)-LEN(SUBSTITUTE('Special Help Table'!$A840," ","")=20),LEN('Special Help Table'!$A840)-LEN(SUBSTITUTE('Special Help Table'!$A840," and",""))=0,LEN('Special Help Table'!$A840)-LEN(SUBSTITUTE('Special Help Table'!$A840,",","",FIND(" ",'Special Help Table'!$A840)+1))=0),RIGHT('Special Help Table'!$A840,LEN('Special Help Table'!$A840)-FIND(", ",'Special Help Table'!$A840))&amp;" "&amp;LEFT('Special Help Table'!$A840,FIND(",",'Special Help Table'!$A840)-1),AND(LEN('Special Help Table'!$A840)-LEN(SUBSTITUTE('Special Help Table'!$A840,"editor",""))=6,LEN('Special Help Table'!$A840)-LEN(SUBSTITUTE('Special Help Table'!$A840,"(",""))=0,LEN('Special Help Table'!$A840)-LEN(SUBSTITUTE('Special Help Table'!$A840,"and",""))=3,LEN('Special Help Table'!$A840)-LEN(SUBSTITUTE('Special Help Table'!$A840,",",""))=1,LEN('Special Help Table'!$A840)-LEN(SUBSTITUTE('Special Help Table'!$A840," ",""))=3),'Special Help Table'!$A840)</f>
        <v>0</v>
      </c>
      <c r="C840" s="4" t="s">
        <v>1525</v>
      </c>
      <c r="D840" s="2"/>
      <c r="E840" s="2" t="s">
        <v>1491</v>
      </c>
      <c r="F840" s="2" t="s">
        <v>17</v>
      </c>
      <c r="G840" s="2"/>
      <c r="H840" s="2"/>
      <c r="I840" s="2"/>
      <c r="J840" s="2"/>
      <c r="K840" s="3">
        <v>40695</v>
      </c>
      <c r="L840" s="2"/>
      <c r="M840" s="2" t="s">
        <v>1331</v>
      </c>
      <c r="N840" s="2" t="s">
        <v>1494</v>
      </c>
    </row>
    <row r="841" spans="1:14" ht="15.75" customHeight="1" x14ac:dyDescent="0.35">
      <c r="A841" s="2"/>
      <c r="B841" s="2" cm="1">
        <f t="array" ref="B841">_xlfn.IFS(AND(LEN('Special Help Table'!$A841)-(LEN(SUBSTITUTE('Special Help Table'!$A841,";","")))=0,LEN('Special Help Table'!$A841)-LEN(SUBSTITUTE('Special Help Table'!$A841,",",""))=1,LEN('Special Help Table'!$A841)-LEN(SUBSTITUTE('Special Help Table'!$A841,"and ",""))=0),MID('Special Help Table'!$A841&amp;" "&amp;'Special Help Table'!$A841,SEARCH(", ",'Special Help Table'!$A841)+1,LEN('Special Help Table'!$A841)),AND(LEN('Special Help Table'!$A841)-(LEN(SUBSTITUTE('Special Help Table'!$A841,";","")))=1,LEN('Special Help Table'!$A841)-LEN(SUBSTITUTE('Special Help Table'!$A841,"and ",""))=0),MID('Special Help Table'!$A841,SEARCH(",",'Special Help Table'!$A841)+1,(SEARCH(";",'Special Help Table'!$A841)-1)-SEARCH(",",'Special Help Table'!$A841))&amp;" "&amp;LEFT('Special Help Table'!$A841,SEARCH(",",'Special Help Table'!$A841)-1)&amp;";"&amp;RIGHT('Special Help Table'!$A841,LEN('Special Help Table'!$A841)-SEARCH(",",'Special Help Table'!$A841,SEARCH(";",'Special Help Table'!$A841)))&amp;" "&amp;MID('Special Help Table'!$A841,SEARCH("; ",'Special Help Table'!$A841)+2,SEARCH(",",'Special Help Table'!$A841,SEARCH(";",'Special Help Table'!$A841))-SEARCH(";",'Special Help Table'!$A841)-2),AND(LEN('Special Help Table'!$A841)-LEN(SUBSTITUTE('Special Help Table'!$A841,"and ",""))=0,LEN('Special Help Table'!$A841)-LEN(SUBSTITUTE('Special Help Table'!$A841,";",""))=0),'Special Help Table'!$A841,AND(LEN('Special Help Table'!$A841)-LEN(SUBSTITUTE('Special Help Table'!$A841,",","")=1),LEN('Special Help Table'!$A841)-LEN(SUBSTITUTE('Special Help Table'!$A841," ","")=20),LEN('Special Help Table'!$A841)-LEN(SUBSTITUTE('Special Help Table'!$A841," and",""))=0,LEN('Special Help Table'!$A841)-LEN(SUBSTITUTE('Special Help Table'!$A841,",","",FIND(" ",'Special Help Table'!$A841)+1))=0),RIGHT('Special Help Table'!$A841,LEN('Special Help Table'!$A841)-FIND(", ",'Special Help Table'!$A841))&amp;" "&amp;LEFT('Special Help Table'!$A841,FIND(",",'Special Help Table'!$A841)-1),AND(LEN('Special Help Table'!$A841)-LEN(SUBSTITUTE('Special Help Table'!$A841,"editor",""))=6,LEN('Special Help Table'!$A841)-LEN(SUBSTITUTE('Special Help Table'!$A841,"(",""))=0,LEN('Special Help Table'!$A841)-LEN(SUBSTITUTE('Special Help Table'!$A841,"and",""))=3,LEN('Special Help Table'!$A841)-LEN(SUBSTITUTE('Special Help Table'!$A841,",",""))=1,LEN('Special Help Table'!$A841)-LEN(SUBSTITUTE('Special Help Table'!$A841," ",""))=3),'Special Help Table'!$A841)</f>
        <v>0</v>
      </c>
      <c r="C841" s="4" t="s">
        <v>1526</v>
      </c>
      <c r="D841" s="2"/>
      <c r="E841" s="2" t="s">
        <v>1491</v>
      </c>
      <c r="F841" s="2" t="s">
        <v>17</v>
      </c>
      <c r="G841" s="2"/>
      <c r="H841" s="2"/>
      <c r="I841" s="2"/>
      <c r="J841" s="2"/>
      <c r="K841" s="3">
        <v>40188</v>
      </c>
      <c r="L841" s="2"/>
      <c r="M841" s="2" t="s">
        <v>1088</v>
      </c>
      <c r="N841" s="2" t="s">
        <v>1494</v>
      </c>
    </row>
    <row r="842" spans="1:14" ht="15.75" customHeight="1" x14ac:dyDescent="0.35">
      <c r="A842" s="2"/>
      <c r="B842" s="2" cm="1">
        <f t="array" ref="B842">_xlfn.IFS(AND(LEN('Special Help Table'!$A842)-(LEN(SUBSTITUTE('Special Help Table'!$A842,";","")))=0,LEN('Special Help Table'!$A842)-LEN(SUBSTITUTE('Special Help Table'!$A842,",",""))=1,LEN('Special Help Table'!$A842)-LEN(SUBSTITUTE('Special Help Table'!$A842,"and ",""))=0),MID('Special Help Table'!$A842&amp;" "&amp;'Special Help Table'!$A842,SEARCH(", ",'Special Help Table'!$A842)+1,LEN('Special Help Table'!$A842)),AND(LEN('Special Help Table'!$A842)-(LEN(SUBSTITUTE('Special Help Table'!$A842,";","")))=1,LEN('Special Help Table'!$A842)-LEN(SUBSTITUTE('Special Help Table'!$A842,"and ",""))=0),MID('Special Help Table'!$A842,SEARCH(",",'Special Help Table'!$A842)+1,(SEARCH(";",'Special Help Table'!$A842)-1)-SEARCH(",",'Special Help Table'!$A842))&amp;" "&amp;LEFT('Special Help Table'!$A842,SEARCH(",",'Special Help Table'!$A842)-1)&amp;";"&amp;RIGHT('Special Help Table'!$A842,LEN('Special Help Table'!$A842)-SEARCH(",",'Special Help Table'!$A842,SEARCH(";",'Special Help Table'!$A842)))&amp;" "&amp;MID('Special Help Table'!$A842,SEARCH("; ",'Special Help Table'!$A842)+2,SEARCH(",",'Special Help Table'!$A842,SEARCH(";",'Special Help Table'!$A842))-SEARCH(";",'Special Help Table'!$A842)-2),AND(LEN('Special Help Table'!$A842)-LEN(SUBSTITUTE('Special Help Table'!$A842,"and ",""))=0,LEN('Special Help Table'!$A842)-LEN(SUBSTITUTE('Special Help Table'!$A842,";",""))=0),'Special Help Table'!$A842,AND(LEN('Special Help Table'!$A842)-LEN(SUBSTITUTE('Special Help Table'!$A842,",","")=1),LEN('Special Help Table'!$A842)-LEN(SUBSTITUTE('Special Help Table'!$A842," ","")=20),LEN('Special Help Table'!$A842)-LEN(SUBSTITUTE('Special Help Table'!$A842," and",""))=0,LEN('Special Help Table'!$A842)-LEN(SUBSTITUTE('Special Help Table'!$A842,",","",FIND(" ",'Special Help Table'!$A842)+1))=0),RIGHT('Special Help Table'!$A842,LEN('Special Help Table'!$A842)-FIND(", ",'Special Help Table'!$A842))&amp;" "&amp;LEFT('Special Help Table'!$A842,FIND(",",'Special Help Table'!$A842)-1),AND(LEN('Special Help Table'!$A842)-LEN(SUBSTITUTE('Special Help Table'!$A842,"editor",""))=6,LEN('Special Help Table'!$A842)-LEN(SUBSTITUTE('Special Help Table'!$A842,"(",""))=0,LEN('Special Help Table'!$A842)-LEN(SUBSTITUTE('Special Help Table'!$A842,"and",""))=3,LEN('Special Help Table'!$A842)-LEN(SUBSTITUTE('Special Help Table'!$A842,",",""))=1,LEN('Special Help Table'!$A842)-LEN(SUBSTITUTE('Special Help Table'!$A842," ",""))=3),'Special Help Table'!$A842)</f>
        <v>0</v>
      </c>
      <c r="C842" s="4" t="s">
        <v>1527</v>
      </c>
      <c r="D842" s="2"/>
      <c r="E842" s="2" t="s">
        <v>1491</v>
      </c>
      <c r="F842" s="2" t="s">
        <v>17</v>
      </c>
      <c r="G842" s="2"/>
      <c r="H842" s="2"/>
      <c r="I842" s="2"/>
      <c r="J842" s="2"/>
      <c r="K842" s="3">
        <v>41346</v>
      </c>
      <c r="L842" s="2"/>
      <c r="M842" s="2"/>
      <c r="N842" s="2" t="s">
        <v>1494</v>
      </c>
    </row>
    <row r="843" spans="1:14" ht="15.75" customHeight="1" x14ac:dyDescent="0.35">
      <c r="A843" s="2"/>
      <c r="B843" s="2" cm="1">
        <f t="array" ref="B843">_xlfn.IFS(AND(LEN('Special Help Table'!$A843)-(LEN(SUBSTITUTE('Special Help Table'!$A843,";","")))=0,LEN('Special Help Table'!$A843)-LEN(SUBSTITUTE('Special Help Table'!$A843,",",""))=1,LEN('Special Help Table'!$A843)-LEN(SUBSTITUTE('Special Help Table'!$A843,"and ",""))=0),MID('Special Help Table'!$A843&amp;" "&amp;'Special Help Table'!$A843,SEARCH(", ",'Special Help Table'!$A843)+1,LEN('Special Help Table'!$A843)),AND(LEN('Special Help Table'!$A843)-(LEN(SUBSTITUTE('Special Help Table'!$A843,";","")))=1,LEN('Special Help Table'!$A843)-LEN(SUBSTITUTE('Special Help Table'!$A843,"and ",""))=0),MID('Special Help Table'!$A843,SEARCH(",",'Special Help Table'!$A843)+1,(SEARCH(";",'Special Help Table'!$A843)-1)-SEARCH(",",'Special Help Table'!$A843))&amp;" "&amp;LEFT('Special Help Table'!$A843,SEARCH(",",'Special Help Table'!$A843)-1)&amp;";"&amp;RIGHT('Special Help Table'!$A843,LEN('Special Help Table'!$A843)-SEARCH(",",'Special Help Table'!$A843,SEARCH(";",'Special Help Table'!$A843)))&amp;" "&amp;MID('Special Help Table'!$A843,SEARCH("; ",'Special Help Table'!$A843)+2,SEARCH(",",'Special Help Table'!$A843,SEARCH(";",'Special Help Table'!$A843))-SEARCH(";",'Special Help Table'!$A843)-2),AND(LEN('Special Help Table'!$A843)-LEN(SUBSTITUTE('Special Help Table'!$A843,"and ",""))=0,LEN('Special Help Table'!$A843)-LEN(SUBSTITUTE('Special Help Table'!$A843,";",""))=0),'Special Help Table'!$A843,AND(LEN('Special Help Table'!$A843)-LEN(SUBSTITUTE('Special Help Table'!$A843,",","")=1),LEN('Special Help Table'!$A843)-LEN(SUBSTITUTE('Special Help Table'!$A843," ","")=20),LEN('Special Help Table'!$A843)-LEN(SUBSTITUTE('Special Help Table'!$A843," and",""))=0,LEN('Special Help Table'!$A843)-LEN(SUBSTITUTE('Special Help Table'!$A843,",","",FIND(" ",'Special Help Table'!$A843)+1))=0),RIGHT('Special Help Table'!$A843,LEN('Special Help Table'!$A843)-FIND(", ",'Special Help Table'!$A843))&amp;" "&amp;LEFT('Special Help Table'!$A843,FIND(",",'Special Help Table'!$A843)-1),AND(LEN('Special Help Table'!$A843)-LEN(SUBSTITUTE('Special Help Table'!$A843,"editor",""))=6,LEN('Special Help Table'!$A843)-LEN(SUBSTITUTE('Special Help Table'!$A843,"(",""))=0,LEN('Special Help Table'!$A843)-LEN(SUBSTITUTE('Special Help Table'!$A843,"and",""))=3,LEN('Special Help Table'!$A843)-LEN(SUBSTITUTE('Special Help Table'!$A843,",",""))=1,LEN('Special Help Table'!$A843)-LEN(SUBSTITUTE('Special Help Table'!$A843," ",""))=3),'Special Help Table'!$A843)</f>
        <v>0</v>
      </c>
      <c r="C843" s="4" t="s">
        <v>1528</v>
      </c>
      <c r="D843" s="2"/>
      <c r="E843" s="2" t="s">
        <v>1491</v>
      </c>
      <c r="F843" s="2" t="s">
        <v>17</v>
      </c>
      <c r="G843" s="2"/>
      <c r="H843" s="2"/>
      <c r="I843" s="2"/>
      <c r="J843" s="2"/>
      <c r="K843" s="3">
        <v>41499</v>
      </c>
      <c r="L843" s="2"/>
      <c r="M843" s="2" t="s">
        <v>1331</v>
      </c>
      <c r="N843" s="2" t="s">
        <v>1494</v>
      </c>
    </row>
    <row r="844" spans="1:14" ht="15.75" customHeight="1" x14ac:dyDescent="0.35">
      <c r="A844" s="2"/>
      <c r="B844" s="2" cm="1">
        <f t="array" ref="B844">_xlfn.IFS(AND(LEN('Special Help Table'!$A844)-(LEN(SUBSTITUTE('Special Help Table'!$A844,";","")))=0,LEN('Special Help Table'!$A844)-LEN(SUBSTITUTE('Special Help Table'!$A844,",",""))=1,LEN('Special Help Table'!$A844)-LEN(SUBSTITUTE('Special Help Table'!$A844,"and ",""))=0),MID('Special Help Table'!$A844&amp;" "&amp;'Special Help Table'!$A844,SEARCH(", ",'Special Help Table'!$A844)+1,LEN('Special Help Table'!$A844)),AND(LEN('Special Help Table'!$A844)-(LEN(SUBSTITUTE('Special Help Table'!$A844,";","")))=1,LEN('Special Help Table'!$A844)-LEN(SUBSTITUTE('Special Help Table'!$A844,"and ",""))=0),MID('Special Help Table'!$A844,SEARCH(",",'Special Help Table'!$A844)+1,(SEARCH(";",'Special Help Table'!$A844)-1)-SEARCH(",",'Special Help Table'!$A844))&amp;" "&amp;LEFT('Special Help Table'!$A844,SEARCH(",",'Special Help Table'!$A844)-1)&amp;";"&amp;RIGHT('Special Help Table'!$A844,LEN('Special Help Table'!$A844)-SEARCH(",",'Special Help Table'!$A844,SEARCH(";",'Special Help Table'!$A844)))&amp;" "&amp;MID('Special Help Table'!$A844,SEARCH("; ",'Special Help Table'!$A844)+2,SEARCH(",",'Special Help Table'!$A844,SEARCH(";",'Special Help Table'!$A844))-SEARCH(";",'Special Help Table'!$A844)-2),AND(LEN('Special Help Table'!$A844)-LEN(SUBSTITUTE('Special Help Table'!$A844,"and ",""))=0,LEN('Special Help Table'!$A844)-LEN(SUBSTITUTE('Special Help Table'!$A844,";",""))=0),'Special Help Table'!$A844,AND(LEN('Special Help Table'!$A844)-LEN(SUBSTITUTE('Special Help Table'!$A844,",","")=1),LEN('Special Help Table'!$A844)-LEN(SUBSTITUTE('Special Help Table'!$A844," ","")=20),LEN('Special Help Table'!$A844)-LEN(SUBSTITUTE('Special Help Table'!$A844," and",""))=0,LEN('Special Help Table'!$A844)-LEN(SUBSTITUTE('Special Help Table'!$A844,",","",FIND(" ",'Special Help Table'!$A844)+1))=0),RIGHT('Special Help Table'!$A844,LEN('Special Help Table'!$A844)-FIND(", ",'Special Help Table'!$A844))&amp;" "&amp;LEFT('Special Help Table'!$A844,FIND(",",'Special Help Table'!$A844)-1),AND(LEN('Special Help Table'!$A844)-LEN(SUBSTITUTE('Special Help Table'!$A844,"editor",""))=6,LEN('Special Help Table'!$A844)-LEN(SUBSTITUTE('Special Help Table'!$A844,"(",""))=0,LEN('Special Help Table'!$A844)-LEN(SUBSTITUTE('Special Help Table'!$A844,"and",""))=3,LEN('Special Help Table'!$A844)-LEN(SUBSTITUTE('Special Help Table'!$A844,",",""))=1,LEN('Special Help Table'!$A844)-LEN(SUBSTITUTE('Special Help Table'!$A844," ",""))=3),'Special Help Table'!$A844)</f>
        <v>0</v>
      </c>
      <c r="C844" s="4" t="s">
        <v>1529</v>
      </c>
      <c r="D844" s="2"/>
      <c r="E844" s="2" t="s">
        <v>1530</v>
      </c>
      <c r="F844" s="2"/>
      <c r="G844" s="2"/>
      <c r="H844" s="2"/>
      <c r="I844" s="2"/>
      <c r="J844" s="2"/>
      <c r="K844" s="3">
        <v>41346</v>
      </c>
      <c r="L844" s="2"/>
      <c r="M844" s="2"/>
      <c r="N844" s="2" t="s">
        <v>1494</v>
      </c>
    </row>
    <row r="845" spans="1:14" ht="15.75" customHeight="1" x14ac:dyDescent="0.35">
      <c r="A845" s="2"/>
      <c r="B845" s="2" cm="1">
        <f t="array" ref="B845">_xlfn.IFS(AND(LEN('Special Help Table'!$A845)-(LEN(SUBSTITUTE('Special Help Table'!$A845,";","")))=0,LEN('Special Help Table'!$A845)-LEN(SUBSTITUTE('Special Help Table'!$A845,",",""))=1,LEN('Special Help Table'!$A845)-LEN(SUBSTITUTE('Special Help Table'!$A845,"and ",""))=0),MID('Special Help Table'!$A845&amp;" "&amp;'Special Help Table'!$A845,SEARCH(", ",'Special Help Table'!$A845)+1,LEN('Special Help Table'!$A845)),AND(LEN('Special Help Table'!$A845)-(LEN(SUBSTITUTE('Special Help Table'!$A845,";","")))=1,LEN('Special Help Table'!$A845)-LEN(SUBSTITUTE('Special Help Table'!$A845,"and ",""))=0),MID('Special Help Table'!$A845,SEARCH(",",'Special Help Table'!$A845)+1,(SEARCH(";",'Special Help Table'!$A845)-1)-SEARCH(",",'Special Help Table'!$A845))&amp;" "&amp;LEFT('Special Help Table'!$A845,SEARCH(",",'Special Help Table'!$A845)-1)&amp;";"&amp;RIGHT('Special Help Table'!$A845,LEN('Special Help Table'!$A845)-SEARCH(",",'Special Help Table'!$A845,SEARCH(";",'Special Help Table'!$A845)))&amp;" "&amp;MID('Special Help Table'!$A845,SEARCH("; ",'Special Help Table'!$A845)+2,SEARCH(",",'Special Help Table'!$A845,SEARCH(";",'Special Help Table'!$A845))-SEARCH(";",'Special Help Table'!$A845)-2),AND(LEN('Special Help Table'!$A845)-LEN(SUBSTITUTE('Special Help Table'!$A845,"and ",""))=0,LEN('Special Help Table'!$A845)-LEN(SUBSTITUTE('Special Help Table'!$A845,";",""))=0),'Special Help Table'!$A845,AND(LEN('Special Help Table'!$A845)-LEN(SUBSTITUTE('Special Help Table'!$A845,",","")=1),LEN('Special Help Table'!$A845)-LEN(SUBSTITUTE('Special Help Table'!$A845," ","")=20),LEN('Special Help Table'!$A845)-LEN(SUBSTITUTE('Special Help Table'!$A845," and",""))=0,LEN('Special Help Table'!$A845)-LEN(SUBSTITUTE('Special Help Table'!$A845,",","",FIND(" ",'Special Help Table'!$A845)+1))=0),RIGHT('Special Help Table'!$A845,LEN('Special Help Table'!$A845)-FIND(", ",'Special Help Table'!$A845))&amp;" "&amp;LEFT('Special Help Table'!$A845,FIND(",",'Special Help Table'!$A845)-1),AND(LEN('Special Help Table'!$A845)-LEN(SUBSTITUTE('Special Help Table'!$A845,"editor",""))=6,LEN('Special Help Table'!$A845)-LEN(SUBSTITUTE('Special Help Table'!$A845,"(",""))=0,LEN('Special Help Table'!$A845)-LEN(SUBSTITUTE('Special Help Table'!$A845,"and",""))=3,LEN('Special Help Table'!$A845)-LEN(SUBSTITUTE('Special Help Table'!$A845,",",""))=1,LEN('Special Help Table'!$A845)-LEN(SUBSTITUTE('Special Help Table'!$A845," ",""))=3),'Special Help Table'!$A845)</f>
        <v>0</v>
      </c>
      <c r="C845" s="4" t="s">
        <v>1531</v>
      </c>
      <c r="D845" s="2"/>
      <c r="E845" s="2" t="s">
        <v>1491</v>
      </c>
      <c r="F845" s="2"/>
      <c r="G845" s="2"/>
      <c r="H845" s="2"/>
      <c r="I845" s="2"/>
      <c r="J845" s="2"/>
      <c r="K845" s="3">
        <v>44578</v>
      </c>
      <c r="L845" s="2"/>
      <c r="M845" s="2"/>
      <c r="N845" s="2" t="s">
        <v>1494</v>
      </c>
    </row>
    <row r="846" spans="1:14" ht="15.75" customHeight="1" x14ac:dyDescent="0.35">
      <c r="A846" s="2"/>
      <c r="B846" s="2" cm="1">
        <f t="array" ref="B846">_xlfn.IFS(AND(LEN('Special Help Table'!$A846)-(LEN(SUBSTITUTE('Special Help Table'!$A846,";","")))=0,LEN('Special Help Table'!$A846)-LEN(SUBSTITUTE('Special Help Table'!$A846,",",""))=1,LEN('Special Help Table'!$A846)-LEN(SUBSTITUTE('Special Help Table'!$A846,"and ",""))=0),MID('Special Help Table'!$A846&amp;" "&amp;'Special Help Table'!$A846,SEARCH(", ",'Special Help Table'!$A846)+1,LEN('Special Help Table'!$A846)),AND(LEN('Special Help Table'!$A846)-(LEN(SUBSTITUTE('Special Help Table'!$A846,";","")))=1,LEN('Special Help Table'!$A846)-LEN(SUBSTITUTE('Special Help Table'!$A846,"and ",""))=0),MID('Special Help Table'!$A846,SEARCH(",",'Special Help Table'!$A846)+1,(SEARCH(";",'Special Help Table'!$A846)-1)-SEARCH(",",'Special Help Table'!$A846))&amp;" "&amp;LEFT('Special Help Table'!$A846,SEARCH(",",'Special Help Table'!$A846)-1)&amp;";"&amp;RIGHT('Special Help Table'!$A846,LEN('Special Help Table'!$A846)-SEARCH(",",'Special Help Table'!$A846,SEARCH(";",'Special Help Table'!$A846)))&amp;" "&amp;MID('Special Help Table'!$A846,SEARCH("; ",'Special Help Table'!$A846)+2,SEARCH(",",'Special Help Table'!$A846,SEARCH(";",'Special Help Table'!$A846))-SEARCH(";",'Special Help Table'!$A846)-2),AND(LEN('Special Help Table'!$A846)-LEN(SUBSTITUTE('Special Help Table'!$A846,"and ",""))=0,LEN('Special Help Table'!$A846)-LEN(SUBSTITUTE('Special Help Table'!$A846,";",""))=0),'Special Help Table'!$A846,AND(LEN('Special Help Table'!$A846)-LEN(SUBSTITUTE('Special Help Table'!$A846,",","")=1),LEN('Special Help Table'!$A846)-LEN(SUBSTITUTE('Special Help Table'!$A846," ","")=20),LEN('Special Help Table'!$A846)-LEN(SUBSTITUTE('Special Help Table'!$A846," and",""))=0,LEN('Special Help Table'!$A846)-LEN(SUBSTITUTE('Special Help Table'!$A846,",","",FIND(" ",'Special Help Table'!$A846)+1))=0),RIGHT('Special Help Table'!$A846,LEN('Special Help Table'!$A846)-FIND(", ",'Special Help Table'!$A846))&amp;" "&amp;LEFT('Special Help Table'!$A846,FIND(",",'Special Help Table'!$A846)-1),AND(LEN('Special Help Table'!$A846)-LEN(SUBSTITUTE('Special Help Table'!$A846,"editor",""))=6,LEN('Special Help Table'!$A846)-LEN(SUBSTITUTE('Special Help Table'!$A846,"(",""))=0,LEN('Special Help Table'!$A846)-LEN(SUBSTITUTE('Special Help Table'!$A846,"and",""))=3,LEN('Special Help Table'!$A846)-LEN(SUBSTITUTE('Special Help Table'!$A846,",",""))=1,LEN('Special Help Table'!$A846)-LEN(SUBSTITUTE('Special Help Table'!$A846," ",""))=3),'Special Help Table'!$A846)</f>
        <v>0</v>
      </c>
      <c r="C846" s="4" t="s">
        <v>1532</v>
      </c>
      <c r="D846" s="2"/>
      <c r="E846" s="2" t="s">
        <v>1491</v>
      </c>
      <c r="F846" s="2"/>
      <c r="G846" s="2"/>
      <c r="H846" s="2"/>
      <c r="I846" s="2"/>
      <c r="J846" s="2"/>
      <c r="K846" s="3">
        <v>42767</v>
      </c>
      <c r="L846" s="2" t="s">
        <v>1533</v>
      </c>
      <c r="M846" s="2"/>
      <c r="N846" s="2" t="s">
        <v>1494</v>
      </c>
    </row>
    <row r="847" spans="1:14" ht="15.75" customHeight="1" x14ac:dyDescent="0.35">
      <c r="A847" s="2"/>
      <c r="B847" s="2" cm="1">
        <f t="array" ref="B847">_xlfn.IFS(AND(LEN('Special Help Table'!$A847)-(LEN(SUBSTITUTE('Special Help Table'!$A847,";","")))=0,LEN('Special Help Table'!$A847)-LEN(SUBSTITUTE('Special Help Table'!$A847,",",""))=1,LEN('Special Help Table'!$A847)-LEN(SUBSTITUTE('Special Help Table'!$A847,"and ",""))=0),MID('Special Help Table'!$A847&amp;" "&amp;'Special Help Table'!$A847,SEARCH(", ",'Special Help Table'!$A847)+1,LEN('Special Help Table'!$A847)),AND(LEN('Special Help Table'!$A847)-(LEN(SUBSTITUTE('Special Help Table'!$A847,";","")))=1,LEN('Special Help Table'!$A847)-LEN(SUBSTITUTE('Special Help Table'!$A847,"and ",""))=0),MID('Special Help Table'!$A847,SEARCH(",",'Special Help Table'!$A847)+1,(SEARCH(";",'Special Help Table'!$A847)-1)-SEARCH(",",'Special Help Table'!$A847))&amp;" "&amp;LEFT('Special Help Table'!$A847,SEARCH(",",'Special Help Table'!$A847)-1)&amp;";"&amp;RIGHT('Special Help Table'!$A847,LEN('Special Help Table'!$A847)-SEARCH(",",'Special Help Table'!$A847,SEARCH(";",'Special Help Table'!$A847)))&amp;" "&amp;MID('Special Help Table'!$A847,SEARCH("; ",'Special Help Table'!$A847)+2,SEARCH(",",'Special Help Table'!$A847,SEARCH(";",'Special Help Table'!$A847))-SEARCH(";",'Special Help Table'!$A847)-2),AND(LEN('Special Help Table'!$A847)-LEN(SUBSTITUTE('Special Help Table'!$A847,"and ",""))=0,LEN('Special Help Table'!$A847)-LEN(SUBSTITUTE('Special Help Table'!$A847,";",""))=0),'Special Help Table'!$A847,AND(LEN('Special Help Table'!$A847)-LEN(SUBSTITUTE('Special Help Table'!$A847,",","")=1),LEN('Special Help Table'!$A847)-LEN(SUBSTITUTE('Special Help Table'!$A847," ","")=20),LEN('Special Help Table'!$A847)-LEN(SUBSTITUTE('Special Help Table'!$A847," and",""))=0,LEN('Special Help Table'!$A847)-LEN(SUBSTITUTE('Special Help Table'!$A847,",","",FIND(" ",'Special Help Table'!$A847)+1))=0),RIGHT('Special Help Table'!$A847,LEN('Special Help Table'!$A847)-FIND(", ",'Special Help Table'!$A847))&amp;" "&amp;LEFT('Special Help Table'!$A847,FIND(",",'Special Help Table'!$A847)-1),AND(LEN('Special Help Table'!$A847)-LEN(SUBSTITUTE('Special Help Table'!$A847,"editor",""))=6,LEN('Special Help Table'!$A847)-LEN(SUBSTITUTE('Special Help Table'!$A847,"(",""))=0,LEN('Special Help Table'!$A847)-LEN(SUBSTITUTE('Special Help Table'!$A847,"and",""))=3,LEN('Special Help Table'!$A847)-LEN(SUBSTITUTE('Special Help Table'!$A847,",",""))=1,LEN('Special Help Table'!$A847)-LEN(SUBSTITUTE('Special Help Table'!$A847," ",""))=3),'Special Help Table'!$A847)</f>
        <v>0</v>
      </c>
      <c r="C847" s="4" t="s">
        <v>1534</v>
      </c>
      <c r="D847" s="2"/>
      <c r="E847" s="2" t="s">
        <v>1491</v>
      </c>
      <c r="F847" s="2"/>
      <c r="G847" s="2"/>
      <c r="H847" s="2"/>
      <c r="I847" s="2"/>
      <c r="J847" s="2"/>
      <c r="K847" s="3">
        <v>40188</v>
      </c>
      <c r="L847" s="2" t="s">
        <v>1535</v>
      </c>
      <c r="M847" s="2"/>
      <c r="N847" s="2" t="s">
        <v>1494</v>
      </c>
    </row>
    <row r="848" spans="1:14" ht="15.75" customHeight="1" x14ac:dyDescent="0.35">
      <c r="A848" s="2"/>
      <c r="B848" s="2" cm="1">
        <f t="array" ref="B848">_xlfn.IFS(AND(LEN('Special Help Table'!$A848)-(LEN(SUBSTITUTE('Special Help Table'!$A848,";","")))=0,LEN('Special Help Table'!$A848)-LEN(SUBSTITUTE('Special Help Table'!$A848,",",""))=1,LEN('Special Help Table'!$A848)-LEN(SUBSTITUTE('Special Help Table'!$A848,"and ",""))=0),MID('Special Help Table'!$A848&amp;" "&amp;'Special Help Table'!$A848,SEARCH(", ",'Special Help Table'!$A848)+1,LEN('Special Help Table'!$A848)),AND(LEN('Special Help Table'!$A848)-(LEN(SUBSTITUTE('Special Help Table'!$A848,";","")))=1,LEN('Special Help Table'!$A848)-LEN(SUBSTITUTE('Special Help Table'!$A848,"and ",""))=0),MID('Special Help Table'!$A848,SEARCH(",",'Special Help Table'!$A848)+1,(SEARCH(";",'Special Help Table'!$A848)-1)-SEARCH(",",'Special Help Table'!$A848))&amp;" "&amp;LEFT('Special Help Table'!$A848,SEARCH(",",'Special Help Table'!$A848)-1)&amp;";"&amp;RIGHT('Special Help Table'!$A848,LEN('Special Help Table'!$A848)-SEARCH(",",'Special Help Table'!$A848,SEARCH(";",'Special Help Table'!$A848)))&amp;" "&amp;MID('Special Help Table'!$A848,SEARCH("; ",'Special Help Table'!$A848)+2,SEARCH(",",'Special Help Table'!$A848,SEARCH(";",'Special Help Table'!$A848))-SEARCH(";",'Special Help Table'!$A848)-2),AND(LEN('Special Help Table'!$A848)-LEN(SUBSTITUTE('Special Help Table'!$A848,"and ",""))=0,LEN('Special Help Table'!$A848)-LEN(SUBSTITUTE('Special Help Table'!$A848,";",""))=0),'Special Help Table'!$A848,AND(LEN('Special Help Table'!$A848)-LEN(SUBSTITUTE('Special Help Table'!$A848,",","")=1),LEN('Special Help Table'!$A848)-LEN(SUBSTITUTE('Special Help Table'!$A848," ","")=20),LEN('Special Help Table'!$A848)-LEN(SUBSTITUTE('Special Help Table'!$A848," and",""))=0,LEN('Special Help Table'!$A848)-LEN(SUBSTITUTE('Special Help Table'!$A848,",","",FIND(" ",'Special Help Table'!$A848)+1))=0),RIGHT('Special Help Table'!$A848,LEN('Special Help Table'!$A848)-FIND(", ",'Special Help Table'!$A848))&amp;" "&amp;LEFT('Special Help Table'!$A848,FIND(",",'Special Help Table'!$A848)-1),AND(LEN('Special Help Table'!$A848)-LEN(SUBSTITUTE('Special Help Table'!$A848,"editor",""))=6,LEN('Special Help Table'!$A848)-LEN(SUBSTITUTE('Special Help Table'!$A848,"(",""))=0,LEN('Special Help Table'!$A848)-LEN(SUBSTITUTE('Special Help Table'!$A848,"and",""))=3,LEN('Special Help Table'!$A848)-LEN(SUBSTITUTE('Special Help Table'!$A848,",",""))=1,LEN('Special Help Table'!$A848)-LEN(SUBSTITUTE('Special Help Table'!$A848," ",""))=3),'Special Help Table'!$A848)</f>
        <v>0</v>
      </c>
      <c r="C848" s="4" t="s">
        <v>1536</v>
      </c>
      <c r="D848" s="2"/>
      <c r="E848" s="2" t="s">
        <v>1491</v>
      </c>
      <c r="F848" s="2"/>
      <c r="G848" s="2"/>
      <c r="H848" s="2"/>
      <c r="I848" s="2"/>
      <c r="J848" s="2"/>
      <c r="K848" s="3">
        <v>44578</v>
      </c>
      <c r="L848" s="2"/>
      <c r="M848" s="2"/>
      <c r="N848" s="2" t="s">
        <v>1494</v>
      </c>
    </row>
    <row r="849" spans="1:14" ht="15.75" customHeight="1" x14ac:dyDescent="0.35">
      <c r="A849" s="2"/>
      <c r="B849" s="2" cm="1">
        <f t="array" ref="B849">_xlfn.IFS(AND(LEN('Special Help Table'!$A849)-(LEN(SUBSTITUTE('Special Help Table'!$A849,";","")))=0,LEN('Special Help Table'!$A849)-LEN(SUBSTITUTE('Special Help Table'!$A849,",",""))=1,LEN('Special Help Table'!$A849)-LEN(SUBSTITUTE('Special Help Table'!$A849,"and ",""))=0),MID('Special Help Table'!$A849&amp;" "&amp;'Special Help Table'!$A849,SEARCH(", ",'Special Help Table'!$A849)+1,LEN('Special Help Table'!$A849)),AND(LEN('Special Help Table'!$A849)-(LEN(SUBSTITUTE('Special Help Table'!$A849,";","")))=1,LEN('Special Help Table'!$A849)-LEN(SUBSTITUTE('Special Help Table'!$A849,"and ",""))=0),MID('Special Help Table'!$A849,SEARCH(",",'Special Help Table'!$A849)+1,(SEARCH(";",'Special Help Table'!$A849)-1)-SEARCH(",",'Special Help Table'!$A849))&amp;" "&amp;LEFT('Special Help Table'!$A849,SEARCH(",",'Special Help Table'!$A849)-1)&amp;";"&amp;RIGHT('Special Help Table'!$A849,LEN('Special Help Table'!$A849)-SEARCH(",",'Special Help Table'!$A849,SEARCH(";",'Special Help Table'!$A849)))&amp;" "&amp;MID('Special Help Table'!$A849,SEARCH("; ",'Special Help Table'!$A849)+2,SEARCH(",",'Special Help Table'!$A849,SEARCH(";",'Special Help Table'!$A849))-SEARCH(";",'Special Help Table'!$A849)-2),AND(LEN('Special Help Table'!$A849)-LEN(SUBSTITUTE('Special Help Table'!$A849,"and ",""))=0,LEN('Special Help Table'!$A849)-LEN(SUBSTITUTE('Special Help Table'!$A849,";",""))=0),'Special Help Table'!$A849,AND(LEN('Special Help Table'!$A849)-LEN(SUBSTITUTE('Special Help Table'!$A849,",","")=1),LEN('Special Help Table'!$A849)-LEN(SUBSTITUTE('Special Help Table'!$A849," ","")=20),LEN('Special Help Table'!$A849)-LEN(SUBSTITUTE('Special Help Table'!$A849," and",""))=0,LEN('Special Help Table'!$A849)-LEN(SUBSTITUTE('Special Help Table'!$A849,",","",FIND(" ",'Special Help Table'!$A849)+1))=0),RIGHT('Special Help Table'!$A849,LEN('Special Help Table'!$A849)-FIND(", ",'Special Help Table'!$A849))&amp;" "&amp;LEFT('Special Help Table'!$A849,FIND(",",'Special Help Table'!$A849)-1),AND(LEN('Special Help Table'!$A849)-LEN(SUBSTITUTE('Special Help Table'!$A849,"editor",""))=6,LEN('Special Help Table'!$A849)-LEN(SUBSTITUTE('Special Help Table'!$A849,"(",""))=0,LEN('Special Help Table'!$A849)-LEN(SUBSTITUTE('Special Help Table'!$A849,"and",""))=3,LEN('Special Help Table'!$A849)-LEN(SUBSTITUTE('Special Help Table'!$A849,",",""))=1,LEN('Special Help Table'!$A849)-LEN(SUBSTITUTE('Special Help Table'!$A849," ",""))=3),'Special Help Table'!$A849)</f>
        <v>0</v>
      </c>
      <c r="C849" s="4" t="s">
        <v>1537</v>
      </c>
      <c r="D849" s="2"/>
      <c r="E849" s="2" t="s">
        <v>1491</v>
      </c>
      <c r="F849" s="2"/>
      <c r="G849" s="2"/>
      <c r="H849" s="2"/>
      <c r="I849" s="2"/>
      <c r="J849" s="2"/>
      <c r="K849" s="3"/>
      <c r="L849" s="2"/>
      <c r="M849" s="2" t="s">
        <v>1538</v>
      </c>
      <c r="N849" s="2" t="s">
        <v>1494</v>
      </c>
    </row>
    <row r="850" spans="1:14" ht="15.75" customHeight="1" x14ac:dyDescent="0.35">
      <c r="A850" s="2"/>
      <c r="B850" s="2" cm="1">
        <f t="array" ref="B850">_xlfn.IFS(AND(LEN('Special Help Table'!$A850)-(LEN(SUBSTITUTE('Special Help Table'!$A850,";","")))=0,LEN('Special Help Table'!$A850)-LEN(SUBSTITUTE('Special Help Table'!$A850,",",""))=1,LEN('Special Help Table'!$A850)-LEN(SUBSTITUTE('Special Help Table'!$A850,"and ",""))=0),MID('Special Help Table'!$A850&amp;" "&amp;'Special Help Table'!$A850,SEARCH(", ",'Special Help Table'!$A850)+1,LEN('Special Help Table'!$A850)),AND(LEN('Special Help Table'!$A850)-(LEN(SUBSTITUTE('Special Help Table'!$A850,";","")))=1,LEN('Special Help Table'!$A850)-LEN(SUBSTITUTE('Special Help Table'!$A850,"and ",""))=0),MID('Special Help Table'!$A850,SEARCH(",",'Special Help Table'!$A850)+1,(SEARCH(";",'Special Help Table'!$A850)-1)-SEARCH(",",'Special Help Table'!$A850))&amp;" "&amp;LEFT('Special Help Table'!$A850,SEARCH(",",'Special Help Table'!$A850)-1)&amp;";"&amp;RIGHT('Special Help Table'!$A850,LEN('Special Help Table'!$A850)-SEARCH(",",'Special Help Table'!$A850,SEARCH(";",'Special Help Table'!$A850)))&amp;" "&amp;MID('Special Help Table'!$A850,SEARCH("; ",'Special Help Table'!$A850)+2,SEARCH(",",'Special Help Table'!$A850,SEARCH(";",'Special Help Table'!$A850))-SEARCH(";",'Special Help Table'!$A850)-2),AND(LEN('Special Help Table'!$A850)-LEN(SUBSTITUTE('Special Help Table'!$A850,"and ",""))=0,LEN('Special Help Table'!$A850)-LEN(SUBSTITUTE('Special Help Table'!$A850,";",""))=0),'Special Help Table'!$A850,AND(LEN('Special Help Table'!$A850)-LEN(SUBSTITUTE('Special Help Table'!$A850,",","")=1),LEN('Special Help Table'!$A850)-LEN(SUBSTITUTE('Special Help Table'!$A850," ","")=20),LEN('Special Help Table'!$A850)-LEN(SUBSTITUTE('Special Help Table'!$A850," and",""))=0,LEN('Special Help Table'!$A850)-LEN(SUBSTITUTE('Special Help Table'!$A850,",","",FIND(" ",'Special Help Table'!$A850)+1))=0),RIGHT('Special Help Table'!$A850,LEN('Special Help Table'!$A850)-FIND(", ",'Special Help Table'!$A850))&amp;" "&amp;LEFT('Special Help Table'!$A850,FIND(",",'Special Help Table'!$A850)-1),AND(LEN('Special Help Table'!$A850)-LEN(SUBSTITUTE('Special Help Table'!$A850,"editor",""))=6,LEN('Special Help Table'!$A850)-LEN(SUBSTITUTE('Special Help Table'!$A850,"(",""))=0,LEN('Special Help Table'!$A850)-LEN(SUBSTITUTE('Special Help Table'!$A850,"and",""))=3,LEN('Special Help Table'!$A850)-LEN(SUBSTITUTE('Special Help Table'!$A850,",",""))=1,LEN('Special Help Table'!$A850)-LEN(SUBSTITUTE('Special Help Table'!$A850," ",""))=3),'Special Help Table'!$A850)</f>
        <v>0</v>
      </c>
      <c r="C850" s="4" t="s">
        <v>1539</v>
      </c>
      <c r="D850" s="2"/>
      <c r="E850" s="2" t="s">
        <v>1491</v>
      </c>
      <c r="F850" s="2"/>
      <c r="G850" s="2"/>
      <c r="H850" s="2"/>
      <c r="I850" s="2"/>
      <c r="J850" s="2"/>
      <c r="K850" s="3">
        <v>44578</v>
      </c>
      <c r="L850" s="2"/>
      <c r="M850" s="2" t="s">
        <v>1540</v>
      </c>
      <c r="N850" s="2" t="s">
        <v>1494</v>
      </c>
    </row>
    <row r="851" spans="1:14" ht="15.75" customHeight="1" x14ac:dyDescent="0.35">
      <c r="A851" s="2"/>
      <c r="B851" s="2" cm="1">
        <f t="array" ref="B851">_xlfn.IFS(AND(LEN('Special Help Table'!$A851)-(LEN(SUBSTITUTE('Special Help Table'!$A851,";","")))=0,LEN('Special Help Table'!$A851)-LEN(SUBSTITUTE('Special Help Table'!$A851,",",""))=1,LEN('Special Help Table'!$A851)-LEN(SUBSTITUTE('Special Help Table'!$A851,"and ",""))=0),MID('Special Help Table'!$A851&amp;" "&amp;'Special Help Table'!$A851,SEARCH(", ",'Special Help Table'!$A851)+1,LEN('Special Help Table'!$A851)),AND(LEN('Special Help Table'!$A851)-(LEN(SUBSTITUTE('Special Help Table'!$A851,";","")))=1,LEN('Special Help Table'!$A851)-LEN(SUBSTITUTE('Special Help Table'!$A851,"and ",""))=0),MID('Special Help Table'!$A851,SEARCH(",",'Special Help Table'!$A851)+1,(SEARCH(";",'Special Help Table'!$A851)-1)-SEARCH(",",'Special Help Table'!$A851))&amp;" "&amp;LEFT('Special Help Table'!$A851,SEARCH(",",'Special Help Table'!$A851)-1)&amp;";"&amp;RIGHT('Special Help Table'!$A851,LEN('Special Help Table'!$A851)-SEARCH(",",'Special Help Table'!$A851,SEARCH(";",'Special Help Table'!$A851)))&amp;" "&amp;MID('Special Help Table'!$A851,SEARCH("; ",'Special Help Table'!$A851)+2,SEARCH(",",'Special Help Table'!$A851,SEARCH(";",'Special Help Table'!$A851))-SEARCH(";",'Special Help Table'!$A851)-2),AND(LEN('Special Help Table'!$A851)-LEN(SUBSTITUTE('Special Help Table'!$A851,"and ",""))=0,LEN('Special Help Table'!$A851)-LEN(SUBSTITUTE('Special Help Table'!$A851,";",""))=0),'Special Help Table'!$A851,AND(LEN('Special Help Table'!$A851)-LEN(SUBSTITUTE('Special Help Table'!$A851,",","")=1),LEN('Special Help Table'!$A851)-LEN(SUBSTITUTE('Special Help Table'!$A851," ","")=20),LEN('Special Help Table'!$A851)-LEN(SUBSTITUTE('Special Help Table'!$A851," and",""))=0,LEN('Special Help Table'!$A851)-LEN(SUBSTITUTE('Special Help Table'!$A851,",","",FIND(" ",'Special Help Table'!$A851)+1))=0),RIGHT('Special Help Table'!$A851,LEN('Special Help Table'!$A851)-FIND(", ",'Special Help Table'!$A851))&amp;" "&amp;LEFT('Special Help Table'!$A851,FIND(",",'Special Help Table'!$A851)-1),AND(LEN('Special Help Table'!$A851)-LEN(SUBSTITUTE('Special Help Table'!$A851,"editor",""))=6,LEN('Special Help Table'!$A851)-LEN(SUBSTITUTE('Special Help Table'!$A851,"(",""))=0,LEN('Special Help Table'!$A851)-LEN(SUBSTITUTE('Special Help Table'!$A851,"and",""))=3,LEN('Special Help Table'!$A851)-LEN(SUBSTITUTE('Special Help Table'!$A851,",",""))=1,LEN('Special Help Table'!$A851)-LEN(SUBSTITUTE('Special Help Table'!$A851," ",""))=3),'Special Help Table'!$A851)</f>
        <v>0</v>
      </c>
      <c r="C851" s="4" t="s">
        <v>1541</v>
      </c>
      <c r="D851" s="2"/>
      <c r="E851" s="2" t="s">
        <v>1491</v>
      </c>
      <c r="F851" s="2"/>
      <c r="G851" s="2"/>
      <c r="H851" s="2"/>
      <c r="I851" s="2"/>
      <c r="J851" s="2"/>
      <c r="K851" s="3">
        <v>40858</v>
      </c>
      <c r="L851" s="2"/>
      <c r="M851" s="2"/>
      <c r="N851" s="2" t="s">
        <v>1494</v>
      </c>
    </row>
    <row r="852" spans="1:14" ht="15.75" customHeight="1" x14ac:dyDescent="0.35">
      <c r="A852" s="2"/>
      <c r="B852" s="2" cm="1">
        <f t="array" ref="B852">_xlfn.IFS(AND(LEN('Special Help Table'!$A852)-(LEN(SUBSTITUTE('Special Help Table'!$A852,";","")))=0,LEN('Special Help Table'!$A852)-LEN(SUBSTITUTE('Special Help Table'!$A852,",",""))=1,LEN('Special Help Table'!$A852)-LEN(SUBSTITUTE('Special Help Table'!$A852,"and ",""))=0),MID('Special Help Table'!$A852&amp;" "&amp;'Special Help Table'!$A852,SEARCH(", ",'Special Help Table'!$A852)+1,LEN('Special Help Table'!$A852)),AND(LEN('Special Help Table'!$A852)-(LEN(SUBSTITUTE('Special Help Table'!$A852,";","")))=1,LEN('Special Help Table'!$A852)-LEN(SUBSTITUTE('Special Help Table'!$A852,"and ",""))=0),MID('Special Help Table'!$A852,SEARCH(",",'Special Help Table'!$A852)+1,(SEARCH(";",'Special Help Table'!$A852)-1)-SEARCH(",",'Special Help Table'!$A852))&amp;" "&amp;LEFT('Special Help Table'!$A852,SEARCH(",",'Special Help Table'!$A852)-1)&amp;";"&amp;RIGHT('Special Help Table'!$A852,LEN('Special Help Table'!$A852)-SEARCH(",",'Special Help Table'!$A852,SEARCH(";",'Special Help Table'!$A852)))&amp;" "&amp;MID('Special Help Table'!$A852,SEARCH("; ",'Special Help Table'!$A852)+2,SEARCH(",",'Special Help Table'!$A852,SEARCH(";",'Special Help Table'!$A852))-SEARCH(";",'Special Help Table'!$A852)-2),AND(LEN('Special Help Table'!$A852)-LEN(SUBSTITUTE('Special Help Table'!$A852,"and ",""))=0,LEN('Special Help Table'!$A852)-LEN(SUBSTITUTE('Special Help Table'!$A852,";",""))=0),'Special Help Table'!$A852,AND(LEN('Special Help Table'!$A852)-LEN(SUBSTITUTE('Special Help Table'!$A852,",","")=1),LEN('Special Help Table'!$A852)-LEN(SUBSTITUTE('Special Help Table'!$A852," ","")=20),LEN('Special Help Table'!$A852)-LEN(SUBSTITUTE('Special Help Table'!$A852," and",""))=0,LEN('Special Help Table'!$A852)-LEN(SUBSTITUTE('Special Help Table'!$A852,",","",FIND(" ",'Special Help Table'!$A852)+1))=0),RIGHT('Special Help Table'!$A852,LEN('Special Help Table'!$A852)-FIND(", ",'Special Help Table'!$A852))&amp;" "&amp;LEFT('Special Help Table'!$A852,FIND(",",'Special Help Table'!$A852)-1),AND(LEN('Special Help Table'!$A852)-LEN(SUBSTITUTE('Special Help Table'!$A852,"editor",""))=6,LEN('Special Help Table'!$A852)-LEN(SUBSTITUTE('Special Help Table'!$A852,"(",""))=0,LEN('Special Help Table'!$A852)-LEN(SUBSTITUTE('Special Help Table'!$A852,"and",""))=3,LEN('Special Help Table'!$A852)-LEN(SUBSTITUTE('Special Help Table'!$A852,",",""))=1,LEN('Special Help Table'!$A852)-LEN(SUBSTITUTE('Special Help Table'!$A852," ",""))=3),'Special Help Table'!$A852)</f>
        <v>0</v>
      </c>
      <c r="C852" s="4" t="s">
        <v>1542</v>
      </c>
      <c r="D852" s="2"/>
      <c r="E852" s="2" t="s">
        <v>1491</v>
      </c>
      <c r="F852" s="2"/>
      <c r="G852" s="2"/>
      <c r="H852" s="2"/>
      <c r="I852" s="2"/>
      <c r="J852" s="2"/>
      <c r="K852" s="3">
        <v>42659</v>
      </c>
      <c r="L852" s="2"/>
      <c r="M852" s="2" t="s">
        <v>367</v>
      </c>
      <c r="N852" s="2" t="s">
        <v>1494</v>
      </c>
    </row>
    <row r="853" spans="1:14" ht="15.75" customHeight="1" x14ac:dyDescent="0.35">
      <c r="A853" s="2"/>
      <c r="B853" s="2" cm="1">
        <f t="array" ref="B853">_xlfn.IFS(AND(LEN('Special Help Table'!$A853)-(LEN(SUBSTITUTE('Special Help Table'!$A853,";","")))=0,LEN('Special Help Table'!$A853)-LEN(SUBSTITUTE('Special Help Table'!$A853,",",""))=1,LEN('Special Help Table'!$A853)-LEN(SUBSTITUTE('Special Help Table'!$A853,"and ",""))=0),MID('Special Help Table'!$A853&amp;" "&amp;'Special Help Table'!$A853,SEARCH(", ",'Special Help Table'!$A853)+1,LEN('Special Help Table'!$A853)),AND(LEN('Special Help Table'!$A853)-(LEN(SUBSTITUTE('Special Help Table'!$A853,";","")))=1,LEN('Special Help Table'!$A853)-LEN(SUBSTITUTE('Special Help Table'!$A853,"and ",""))=0),MID('Special Help Table'!$A853,SEARCH(",",'Special Help Table'!$A853)+1,(SEARCH(";",'Special Help Table'!$A853)-1)-SEARCH(",",'Special Help Table'!$A853))&amp;" "&amp;LEFT('Special Help Table'!$A853,SEARCH(",",'Special Help Table'!$A853)-1)&amp;";"&amp;RIGHT('Special Help Table'!$A853,LEN('Special Help Table'!$A853)-SEARCH(",",'Special Help Table'!$A853,SEARCH(";",'Special Help Table'!$A853)))&amp;" "&amp;MID('Special Help Table'!$A853,SEARCH("; ",'Special Help Table'!$A853)+2,SEARCH(",",'Special Help Table'!$A853,SEARCH(";",'Special Help Table'!$A853))-SEARCH(";",'Special Help Table'!$A853)-2),AND(LEN('Special Help Table'!$A853)-LEN(SUBSTITUTE('Special Help Table'!$A853,"and ",""))=0,LEN('Special Help Table'!$A853)-LEN(SUBSTITUTE('Special Help Table'!$A853,";",""))=0),'Special Help Table'!$A853,AND(LEN('Special Help Table'!$A853)-LEN(SUBSTITUTE('Special Help Table'!$A853,",","")=1),LEN('Special Help Table'!$A853)-LEN(SUBSTITUTE('Special Help Table'!$A853," ","")=20),LEN('Special Help Table'!$A853)-LEN(SUBSTITUTE('Special Help Table'!$A853," and",""))=0,LEN('Special Help Table'!$A853)-LEN(SUBSTITUTE('Special Help Table'!$A853,",","",FIND(" ",'Special Help Table'!$A853)+1))=0),RIGHT('Special Help Table'!$A853,LEN('Special Help Table'!$A853)-FIND(", ",'Special Help Table'!$A853))&amp;" "&amp;LEFT('Special Help Table'!$A853,FIND(",",'Special Help Table'!$A853)-1),AND(LEN('Special Help Table'!$A853)-LEN(SUBSTITUTE('Special Help Table'!$A853,"editor",""))=6,LEN('Special Help Table'!$A853)-LEN(SUBSTITUTE('Special Help Table'!$A853,"(",""))=0,LEN('Special Help Table'!$A853)-LEN(SUBSTITUTE('Special Help Table'!$A853,"and",""))=3,LEN('Special Help Table'!$A853)-LEN(SUBSTITUTE('Special Help Table'!$A853,",",""))=1,LEN('Special Help Table'!$A853)-LEN(SUBSTITUTE('Special Help Table'!$A853," ",""))=3),'Special Help Table'!$A853)</f>
        <v>0</v>
      </c>
      <c r="C853" s="4" t="s">
        <v>1543</v>
      </c>
      <c r="D853" s="2"/>
      <c r="E853" s="2" t="s">
        <v>1491</v>
      </c>
      <c r="F853" s="2"/>
      <c r="G853" s="2"/>
      <c r="H853" s="2"/>
      <c r="I853" s="2"/>
      <c r="J853" s="2"/>
      <c r="K853" s="3">
        <v>40051</v>
      </c>
      <c r="L853" s="2" t="s">
        <v>1544</v>
      </c>
      <c r="M853" s="2"/>
      <c r="N853" s="2" t="s">
        <v>1494</v>
      </c>
    </row>
    <row r="854" spans="1:14" ht="15.75" customHeight="1" x14ac:dyDescent="0.35">
      <c r="A854" s="2"/>
      <c r="B854" s="2" cm="1">
        <f t="array" ref="B854">_xlfn.IFS(AND(LEN('Special Help Table'!$A854)-(LEN(SUBSTITUTE('Special Help Table'!$A854,";","")))=0,LEN('Special Help Table'!$A854)-LEN(SUBSTITUTE('Special Help Table'!$A854,",",""))=1,LEN('Special Help Table'!$A854)-LEN(SUBSTITUTE('Special Help Table'!$A854,"and ",""))=0),MID('Special Help Table'!$A854&amp;" "&amp;'Special Help Table'!$A854,SEARCH(", ",'Special Help Table'!$A854)+1,LEN('Special Help Table'!$A854)),AND(LEN('Special Help Table'!$A854)-(LEN(SUBSTITUTE('Special Help Table'!$A854,";","")))=1,LEN('Special Help Table'!$A854)-LEN(SUBSTITUTE('Special Help Table'!$A854,"and ",""))=0),MID('Special Help Table'!$A854,SEARCH(",",'Special Help Table'!$A854)+1,(SEARCH(";",'Special Help Table'!$A854)-1)-SEARCH(",",'Special Help Table'!$A854))&amp;" "&amp;LEFT('Special Help Table'!$A854,SEARCH(",",'Special Help Table'!$A854)-1)&amp;";"&amp;RIGHT('Special Help Table'!$A854,LEN('Special Help Table'!$A854)-SEARCH(",",'Special Help Table'!$A854,SEARCH(";",'Special Help Table'!$A854)))&amp;" "&amp;MID('Special Help Table'!$A854,SEARCH("; ",'Special Help Table'!$A854)+2,SEARCH(",",'Special Help Table'!$A854,SEARCH(";",'Special Help Table'!$A854))-SEARCH(";",'Special Help Table'!$A854)-2),AND(LEN('Special Help Table'!$A854)-LEN(SUBSTITUTE('Special Help Table'!$A854,"and ",""))=0,LEN('Special Help Table'!$A854)-LEN(SUBSTITUTE('Special Help Table'!$A854,";",""))=0),'Special Help Table'!$A854,AND(LEN('Special Help Table'!$A854)-LEN(SUBSTITUTE('Special Help Table'!$A854,",","")=1),LEN('Special Help Table'!$A854)-LEN(SUBSTITUTE('Special Help Table'!$A854," ","")=20),LEN('Special Help Table'!$A854)-LEN(SUBSTITUTE('Special Help Table'!$A854," and",""))=0,LEN('Special Help Table'!$A854)-LEN(SUBSTITUTE('Special Help Table'!$A854,",","",FIND(" ",'Special Help Table'!$A854)+1))=0),RIGHT('Special Help Table'!$A854,LEN('Special Help Table'!$A854)-FIND(", ",'Special Help Table'!$A854))&amp;" "&amp;LEFT('Special Help Table'!$A854,FIND(",",'Special Help Table'!$A854)-1),AND(LEN('Special Help Table'!$A854)-LEN(SUBSTITUTE('Special Help Table'!$A854,"editor",""))=6,LEN('Special Help Table'!$A854)-LEN(SUBSTITUTE('Special Help Table'!$A854,"(",""))=0,LEN('Special Help Table'!$A854)-LEN(SUBSTITUTE('Special Help Table'!$A854,"and",""))=3,LEN('Special Help Table'!$A854)-LEN(SUBSTITUTE('Special Help Table'!$A854,",",""))=1,LEN('Special Help Table'!$A854)-LEN(SUBSTITUTE('Special Help Table'!$A854," ",""))=3),'Special Help Table'!$A854)</f>
        <v>0</v>
      </c>
      <c r="C854" s="4" t="s">
        <v>1545</v>
      </c>
      <c r="D854" s="2"/>
      <c r="E854" s="2" t="s">
        <v>1491</v>
      </c>
      <c r="F854" s="2"/>
      <c r="G854" s="2"/>
      <c r="H854" s="2"/>
      <c r="I854" s="2"/>
      <c r="J854" s="2"/>
      <c r="K854" s="3">
        <v>42019</v>
      </c>
      <c r="L854" s="2" t="s">
        <v>1544</v>
      </c>
      <c r="M854" s="2"/>
      <c r="N854" s="2" t="s">
        <v>1494</v>
      </c>
    </row>
    <row r="855" spans="1:14" ht="15.75" customHeight="1" x14ac:dyDescent="0.35">
      <c r="A855" s="2"/>
      <c r="B855" s="2" cm="1">
        <f t="array" ref="B855">_xlfn.IFS(AND(LEN('Special Help Table'!$A855)-(LEN(SUBSTITUTE('Special Help Table'!$A855,";","")))=0,LEN('Special Help Table'!$A855)-LEN(SUBSTITUTE('Special Help Table'!$A855,",",""))=1,LEN('Special Help Table'!$A855)-LEN(SUBSTITUTE('Special Help Table'!$A855,"and ",""))=0),MID('Special Help Table'!$A855&amp;" "&amp;'Special Help Table'!$A855,SEARCH(", ",'Special Help Table'!$A855)+1,LEN('Special Help Table'!$A855)),AND(LEN('Special Help Table'!$A855)-(LEN(SUBSTITUTE('Special Help Table'!$A855,";","")))=1,LEN('Special Help Table'!$A855)-LEN(SUBSTITUTE('Special Help Table'!$A855,"and ",""))=0),MID('Special Help Table'!$A855,SEARCH(",",'Special Help Table'!$A855)+1,(SEARCH(";",'Special Help Table'!$A855)-1)-SEARCH(",",'Special Help Table'!$A855))&amp;" "&amp;LEFT('Special Help Table'!$A855,SEARCH(",",'Special Help Table'!$A855)-1)&amp;";"&amp;RIGHT('Special Help Table'!$A855,LEN('Special Help Table'!$A855)-SEARCH(",",'Special Help Table'!$A855,SEARCH(";",'Special Help Table'!$A855)))&amp;" "&amp;MID('Special Help Table'!$A855,SEARCH("; ",'Special Help Table'!$A855)+2,SEARCH(",",'Special Help Table'!$A855,SEARCH(";",'Special Help Table'!$A855))-SEARCH(";",'Special Help Table'!$A855)-2),AND(LEN('Special Help Table'!$A855)-LEN(SUBSTITUTE('Special Help Table'!$A855,"and ",""))=0,LEN('Special Help Table'!$A855)-LEN(SUBSTITUTE('Special Help Table'!$A855,";",""))=0),'Special Help Table'!$A855,AND(LEN('Special Help Table'!$A855)-LEN(SUBSTITUTE('Special Help Table'!$A855,",","")=1),LEN('Special Help Table'!$A855)-LEN(SUBSTITUTE('Special Help Table'!$A855," ","")=20),LEN('Special Help Table'!$A855)-LEN(SUBSTITUTE('Special Help Table'!$A855," and",""))=0,LEN('Special Help Table'!$A855)-LEN(SUBSTITUTE('Special Help Table'!$A855,",","",FIND(" ",'Special Help Table'!$A855)+1))=0),RIGHT('Special Help Table'!$A855,LEN('Special Help Table'!$A855)-FIND(", ",'Special Help Table'!$A855))&amp;" "&amp;LEFT('Special Help Table'!$A855,FIND(",",'Special Help Table'!$A855)-1),AND(LEN('Special Help Table'!$A855)-LEN(SUBSTITUTE('Special Help Table'!$A855,"editor",""))=6,LEN('Special Help Table'!$A855)-LEN(SUBSTITUTE('Special Help Table'!$A855,"(",""))=0,LEN('Special Help Table'!$A855)-LEN(SUBSTITUTE('Special Help Table'!$A855,"and",""))=3,LEN('Special Help Table'!$A855)-LEN(SUBSTITUTE('Special Help Table'!$A855,",",""))=1,LEN('Special Help Table'!$A855)-LEN(SUBSTITUTE('Special Help Table'!$A855," ",""))=3),'Special Help Table'!$A855)</f>
        <v>0</v>
      </c>
      <c r="C855" s="4" t="s">
        <v>1546</v>
      </c>
      <c r="D855" s="2"/>
      <c r="E855" s="2" t="s">
        <v>1491</v>
      </c>
      <c r="F855" s="2"/>
      <c r="G855" s="2"/>
      <c r="H855" s="2"/>
      <c r="I855" s="2"/>
      <c r="J855" s="2"/>
      <c r="K855" s="3">
        <v>40705</v>
      </c>
      <c r="L855" s="2" t="s">
        <v>1547</v>
      </c>
      <c r="M855" s="2"/>
      <c r="N855" s="2" t="s">
        <v>1494</v>
      </c>
    </row>
    <row r="856" spans="1:14" ht="15.75" customHeight="1" x14ac:dyDescent="0.35">
      <c r="A856" s="2"/>
      <c r="B856" s="2" cm="1">
        <f t="array" ref="B856">_xlfn.IFS(AND(LEN('Special Help Table'!$A856)-(LEN(SUBSTITUTE('Special Help Table'!$A856,";","")))=0,LEN('Special Help Table'!$A856)-LEN(SUBSTITUTE('Special Help Table'!$A856,",",""))=1,LEN('Special Help Table'!$A856)-LEN(SUBSTITUTE('Special Help Table'!$A856,"and ",""))=0),MID('Special Help Table'!$A856&amp;" "&amp;'Special Help Table'!$A856,SEARCH(", ",'Special Help Table'!$A856)+1,LEN('Special Help Table'!$A856)),AND(LEN('Special Help Table'!$A856)-(LEN(SUBSTITUTE('Special Help Table'!$A856,";","")))=1,LEN('Special Help Table'!$A856)-LEN(SUBSTITUTE('Special Help Table'!$A856,"and ",""))=0),MID('Special Help Table'!$A856,SEARCH(",",'Special Help Table'!$A856)+1,(SEARCH(";",'Special Help Table'!$A856)-1)-SEARCH(",",'Special Help Table'!$A856))&amp;" "&amp;LEFT('Special Help Table'!$A856,SEARCH(",",'Special Help Table'!$A856)-1)&amp;";"&amp;RIGHT('Special Help Table'!$A856,LEN('Special Help Table'!$A856)-SEARCH(",",'Special Help Table'!$A856,SEARCH(";",'Special Help Table'!$A856)))&amp;" "&amp;MID('Special Help Table'!$A856,SEARCH("; ",'Special Help Table'!$A856)+2,SEARCH(",",'Special Help Table'!$A856,SEARCH(";",'Special Help Table'!$A856))-SEARCH(";",'Special Help Table'!$A856)-2),AND(LEN('Special Help Table'!$A856)-LEN(SUBSTITUTE('Special Help Table'!$A856,"and ",""))=0,LEN('Special Help Table'!$A856)-LEN(SUBSTITUTE('Special Help Table'!$A856,";",""))=0),'Special Help Table'!$A856,AND(LEN('Special Help Table'!$A856)-LEN(SUBSTITUTE('Special Help Table'!$A856,",","")=1),LEN('Special Help Table'!$A856)-LEN(SUBSTITUTE('Special Help Table'!$A856," ","")=20),LEN('Special Help Table'!$A856)-LEN(SUBSTITUTE('Special Help Table'!$A856," and",""))=0,LEN('Special Help Table'!$A856)-LEN(SUBSTITUTE('Special Help Table'!$A856,",","",FIND(" ",'Special Help Table'!$A856)+1))=0),RIGHT('Special Help Table'!$A856,LEN('Special Help Table'!$A856)-FIND(", ",'Special Help Table'!$A856))&amp;" "&amp;LEFT('Special Help Table'!$A856,FIND(",",'Special Help Table'!$A856)-1),AND(LEN('Special Help Table'!$A856)-LEN(SUBSTITUTE('Special Help Table'!$A856,"editor",""))=6,LEN('Special Help Table'!$A856)-LEN(SUBSTITUTE('Special Help Table'!$A856,"(",""))=0,LEN('Special Help Table'!$A856)-LEN(SUBSTITUTE('Special Help Table'!$A856,"and",""))=3,LEN('Special Help Table'!$A856)-LEN(SUBSTITUTE('Special Help Table'!$A856,",",""))=1,LEN('Special Help Table'!$A856)-LEN(SUBSTITUTE('Special Help Table'!$A856," ",""))=3),'Special Help Table'!$A856)</f>
        <v>0</v>
      </c>
      <c r="C856" s="4" t="s">
        <v>1548</v>
      </c>
      <c r="D856" s="2"/>
      <c r="E856" s="2" t="s">
        <v>1491</v>
      </c>
      <c r="F856" s="2"/>
      <c r="G856" s="2"/>
      <c r="H856" s="2"/>
      <c r="I856" s="2"/>
      <c r="J856" s="2"/>
      <c r="K856" s="3">
        <v>42019</v>
      </c>
      <c r="L856" s="2"/>
      <c r="M856" s="2"/>
      <c r="N856" s="2" t="s">
        <v>1494</v>
      </c>
    </row>
    <row r="857" spans="1:14" ht="15.75" customHeight="1" x14ac:dyDescent="0.35">
      <c r="A857" s="2"/>
      <c r="B857" s="2" cm="1">
        <f t="array" ref="B857">_xlfn.IFS(AND(LEN('Special Help Table'!$A857)-(LEN(SUBSTITUTE('Special Help Table'!$A857,";","")))=0,LEN('Special Help Table'!$A857)-LEN(SUBSTITUTE('Special Help Table'!$A857,",",""))=1,LEN('Special Help Table'!$A857)-LEN(SUBSTITUTE('Special Help Table'!$A857,"and ",""))=0),MID('Special Help Table'!$A857&amp;" "&amp;'Special Help Table'!$A857,SEARCH(", ",'Special Help Table'!$A857)+1,LEN('Special Help Table'!$A857)),AND(LEN('Special Help Table'!$A857)-(LEN(SUBSTITUTE('Special Help Table'!$A857,";","")))=1,LEN('Special Help Table'!$A857)-LEN(SUBSTITUTE('Special Help Table'!$A857,"and ",""))=0),MID('Special Help Table'!$A857,SEARCH(",",'Special Help Table'!$A857)+1,(SEARCH(";",'Special Help Table'!$A857)-1)-SEARCH(",",'Special Help Table'!$A857))&amp;" "&amp;LEFT('Special Help Table'!$A857,SEARCH(",",'Special Help Table'!$A857)-1)&amp;";"&amp;RIGHT('Special Help Table'!$A857,LEN('Special Help Table'!$A857)-SEARCH(",",'Special Help Table'!$A857,SEARCH(";",'Special Help Table'!$A857)))&amp;" "&amp;MID('Special Help Table'!$A857,SEARCH("; ",'Special Help Table'!$A857)+2,SEARCH(",",'Special Help Table'!$A857,SEARCH(";",'Special Help Table'!$A857))-SEARCH(";",'Special Help Table'!$A857)-2),AND(LEN('Special Help Table'!$A857)-LEN(SUBSTITUTE('Special Help Table'!$A857,"and ",""))=0,LEN('Special Help Table'!$A857)-LEN(SUBSTITUTE('Special Help Table'!$A857,";",""))=0),'Special Help Table'!$A857,AND(LEN('Special Help Table'!$A857)-LEN(SUBSTITUTE('Special Help Table'!$A857,",","")=1),LEN('Special Help Table'!$A857)-LEN(SUBSTITUTE('Special Help Table'!$A857," ","")=20),LEN('Special Help Table'!$A857)-LEN(SUBSTITUTE('Special Help Table'!$A857," and",""))=0,LEN('Special Help Table'!$A857)-LEN(SUBSTITUTE('Special Help Table'!$A857,",","",FIND(" ",'Special Help Table'!$A857)+1))=0),RIGHT('Special Help Table'!$A857,LEN('Special Help Table'!$A857)-FIND(", ",'Special Help Table'!$A857))&amp;" "&amp;LEFT('Special Help Table'!$A857,FIND(",",'Special Help Table'!$A857)-1),AND(LEN('Special Help Table'!$A857)-LEN(SUBSTITUTE('Special Help Table'!$A857,"editor",""))=6,LEN('Special Help Table'!$A857)-LEN(SUBSTITUTE('Special Help Table'!$A857,"(",""))=0,LEN('Special Help Table'!$A857)-LEN(SUBSTITUTE('Special Help Table'!$A857,"and",""))=3,LEN('Special Help Table'!$A857)-LEN(SUBSTITUTE('Special Help Table'!$A857,",",""))=1,LEN('Special Help Table'!$A857)-LEN(SUBSTITUTE('Special Help Table'!$A857," ",""))=3),'Special Help Table'!$A857)</f>
        <v>0</v>
      </c>
      <c r="C857" s="4" t="s">
        <v>1549</v>
      </c>
      <c r="D857" s="2"/>
      <c r="E857" s="2" t="s">
        <v>1491</v>
      </c>
      <c r="F857" s="2"/>
      <c r="G857" s="2"/>
      <c r="H857" s="2"/>
      <c r="I857" s="2"/>
      <c r="J857" s="2"/>
      <c r="K857" s="3">
        <v>44578</v>
      </c>
      <c r="L857" s="2"/>
      <c r="M857" s="2"/>
      <c r="N857" s="2" t="s">
        <v>1494</v>
      </c>
    </row>
    <row r="858" spans="1:14" ht="15.75" customHeight="1" x14ac:dyDescent="0.35">
      <c r="A858" s="2"/>
      <c r="B858" s="2" cm="1">
        <f t="array" ref="B858">_xlfn.IFS(AND(LEN('Special Help Table'!$A858)-(LEN(SUBSTITUTE('Special Help Table'!$A858,";","")))=0,LEN('Special Help Table'!$A858)-LEN(SUBSTITUTE('Special Help Table'!$A858,",",""))=1,LEN('Special Help Table'!$A858)-LEN(SUBSTITUTE('Special Help Table'!$A858,"and ",""))=0),MID('Special Help Table'!$A858&amp;" "&amp;'Special Help Table'!$A858,SEARCH(", ",'Special Help Table'!$A858)+1,LEN('Special Help Table'!$A858)),AND(LEN('Special Help Table'!$A858)-(LEN(SUBSTITUTE('Special Help Table'!$A858,";","")))=1,LEN('Special Help Table'!$A858)-LEN(SUBSTITUTE('Special Help Table'!$A858,"and ",""))=0),MID('Special Help Table'!$A858,SEARCH(",",'Special Help Table'!$A858)+1,(SEARCH(";",'Special Help Table'!$A858)-1)-SEARCH(",",'Special Help Table'!$A858))&amp;" "&amp;LEFT('Special Help Table'!$A858,SEARCH(",",'Special Help Table'!$A858)-1)&amp;";"&amp;RIGHT('Special Help Table'!$A858,LEN('Special Help Table'!$A858)-SEARCH(",",'Special Help Table'!$A858,SEARCH(";",'Special Help Table'!$A858)))&amp;" "&amp;MID('Special Help Table'!$A858,SEARCH("; ",'Special Help Table'!$A858)+2,SEARCH(",",'Special Help Table'!$A858,SEARCH(";",'Special Help Table'!$A858))-SEARCH(";",'Special Help Table'!$A858)-2),AND(LEN('Special Help Table'!$A858)-LEN(SUBSTITUTE('Special Help Table'!$A858,"and ",""))=0,LEN('Special Help Table'!$A858)-LEN(SUBSTITUTE('Special Help Table'!$A858,";",""))=0),'Special Help Table'!$A858,AND(LEN('Special Help Table'!$A858)-LEN(SUBSTITUTE('Special Help Table'!$A858,",","")=1),LEN('Special Help Table'!$A858)-LEN(SUBSTITUTE('Special Help Table'!$A858," ","")=20),LEN('Special Help Table'!$A858)-LEN(SUBSTITUTE('Special Help Table'!$A858," and",""))=0,LEN('Special Help Table'!$A858)-LEN(SUBSTITUTE('Special Help Table'!$A858,",","",FIND(" ",'Special Help Table'!$A858)+1))=0),RIGHT('Special Help Table'!$A858,LEN('Special Help Table'!$A858)-FIND(", ",'Special Help Table'!$A858))&amp;" "&amp;LEFT('Special Help Table'!$A858,FIND(",",'Special Help Table'!$A858)-1),AND(LEN('Special Help Table'!$A858)-LEN(SUBSTITUTE('Special Help Table'!$A858,"editor",""))=6,LEN('Special Help Table'!$A858)-LEN(SUBSTITUTE('Special Help Table'!$A858,"(",""))=0,LEN('Special Help Table'!$A858)-LEN(SUBSTITUTE('Special Help Table'!$A858,"and",""))=3,LEN('Special Help Table'!$A858)-LEN(SUBSTITUTE('Special Help Table'!$A858,",",""))=1,LEN('Special Help Table'!$A858)-LEN(SUBSTITUTE('Special Help Table'!$A858," ",""))=3),'Special Help Table'!$A858)</f>
        <v>0</v>
      </c>
      <c r="C858" s="4" t="s">
        <v>1550</v>
      </c>
      <c r="D858" s="2"/>
      <c r="E858" s="2" t="s">
        <v>1491</v>
      </c>
      <c r="F858" s="2"/>
      <c r="G858" s="2"/>
      <c r="H858" s="2"/>
      <c r="I858" s="2"/>
      <c r="J858" s="2"/>
      <c r="K858" s="3">
        <v>44578</v>
      </c>
      <c r="L858" s="2"/>
      <c r="M858" s="2" t="s">
        <v>1551</v>
      </c>
      <c r="N858" s="2" t="s">
        <v>1494</v>
      </c>
    </row>
    <row r="859" spans="1:14" ht="15.75" customHeight="1" x14ac:dyDescent="0.35">
      <c r="A859" s="2"/>
      <c r="B859" s="2" cm="1">
        <f t="array" ref="B859">_xlfn.IFS(AND(LEN('Special Help Table'!$A859)-(LEN(SUBSTITUTE('Special Help Table'!$A859,";","")))=0,LEN('Special Help Table'!$A859)-LEN(SUBSTITUTE('Special Help Table'!$A859,",",""))=1,LEN('Special Help Table'!$A859)-LEN(SUBSTITUTE('Special Help Table'!$A859,"and ",""))=0),MID('Special Help Table'!$A859&amp;" "&amp;'Special Help Table'!$A859,SEARCH(", ",'Special Help Table'!$A859)+1,LEN('Special Help Table'!$A859)),AND(LEN('Special Help Table'!$A859)-(LEN(SUBSTITUTE('Special Help Table'!$A859,";","")))=1,LEN('Special Help Table'!$A859)-LEN(SUBSTITUTE('Special Help Table'!$A859,"and ",""))=0),MID('Special Help Table'!$A859,SEARCH(",",'Special Help Table'!$A859)+1,(SEARCH(";",'Special Help Table'!$A859)-1)-SEARCH(",",'Special Help Table'!$A859))&amp;" "&amp;LEFT('Special Help Table'!$A859,SEARCH(",",'Special Help Table'!$A859)-1)&amp;";"&amp;RIGHT('Special Help Table'!$A859,LEN('Special Help Table'!$A859)-SEARCH(",",'Special Help Table'!$A859,SEARCH(";",'Special Help Table'!$A859)))&amp;" "&amp;MID('Special Help Table'!$A859,SEARCH("; ",'Special Help Table'!$A859)+2,SEARCH(",",'Special Help Table'!$A859,SEARCH(";",'Special Help Table'!$A859))-SEARCH(";",'Special Help Table'!$A859)-2),AND(LEN('Special Help Table'!$A859)-LEN(SUBSTITUTE('Special Help Table'!$A859,"and ",""))=0,LEN('Special Help Table'!$A859)-LEN(SUBSTITUTE('Special Help Table'!$A859,";",""))=0),'Special Help Table'!$A859,AND(LEN('Special Help Table'!$A859)-LEN(SUBSTITUTE('Special Help Table'!$A859,",","")=1),LEN('Special Help Table'!$A859)-LEN(SUBSTITUTE('Special Help Table'!$A859," ","")=20),LEN('Special Help Table'!$A859)-LEN(SUBSTITUTE('Special Help Table'!$A859," and",""))=0,LEN('Special Help Table'!$A859)-LEN(SUBSTITUTE('Special Help Table'!$A859,",","",FIND(" ",'Special Help Table'!$A859)+1))=0),RIGHT('Special Help Table'!$A859,LEN('Special Help Table'!$A859)-FIND(", ",'Special Help Table'!$A859))&amp;" "&amp;LEFT('Special Help Table'!$A859,FIND(",",'Special Help Table'!$A859)-1),AND(LEN('Special Help Table'!$A859)-LEN(SUBSTITUTE('Special Help Table'!$A859,"editor",""))=6,LEN('Special Help Table'!$A859)-LEN(SUBSTITUTE('Special Help Table'!$A859,"(",""))=0,LEN('Special Help Table'!$A859)-LEN(SUBSTITUTE('Special Help Table'!$A859,"and",""))=3,LEN('Special Help Table'!$A859)-LEN(SUBSTITUTE('Special Help Table'!$A859,",",""))=1,LEN('Special Help Table'!$A859)-LEN(SUBSTITUTE('Special Help Table'!$A859," ",""))=3),'Special Help Table'!$A859)</f>
        <v>0</v>
      </c>
      <c r="C859" s="4" t="s">
        <v>1552</v>
      </c>
      <c r="D859" s="2"/>
      <c r="E859" s="2" t="s">
        <v>1491</v>
      </c>
      <c r="F859" s="2"/>
      <c r="G859" s="2"/>
      <c r="H859" s="2"/>
      <c r="I859" s="2"/>
      <c r="J859" s="2"/>
      <c r="K859" s="3">
        <v>40052</v>
      </c>
      <c r="L859" s="2"/>
      <c r="M859" s="2"/>
      <c r="N859" s="2" t="s">
        <v>1494</v>
      </c>
    </row>
    <row r="860" spans="1:14" ht="15.75" customHeight="1" x14ac:dyDescent="0.35">
      <c r="A860" s="2"/>
      <c r="B860" s="2" cm="1">
        <f t="array" ref="B860">_xlfn.IFS(AND(LEN('Special Help Table'!$A860)-(LEN(SUBSTITUTE('Special Help Table'!$A860,";","")))=0,LEN('Special Help Table'!$A860)-LEN(SUBSTITUTE('Special Help Table'!$A860,",",""))=1,LEN('Special Help Table'!$A860)-LEN(SUBSTITUTE('Special Help Table'!$A860,"and ",""))=0),MID('Special Help Table'!$A860&amp;" "&amp;'Special Help Table'!$A860,SEARCH(", ",'Special Help Table'!$A860)+1,LEN('Special Help Table'!$A860)),AND(LEN('Special Help Table'!$A860)-(LEN(SUBSTITUTE('Special Help Table'!$A860,";","")))=1,LEN('Special Help Table'!$A860)-LEN(SUBSTITUTE('Special Help Table'!$A860,"and ",""))=0),MID('Special Help Table'!$A860,SEARCH(",",'Special Help Table'!$A860)+1,(SEARCH(";",'Special Help Table'!$A860)-1)-SEARCH(",",'Special Help Table'!$A860))&amp;" "&amp;LEFT('Special Help Table'!$A860,SEARCH(",",'Special Help Table'!$A860)-1)&amp;";"&amp;RIGHT('Special Help Table'!$A860,LEN('Special Help Table'!$A860)-SEARCH(",",'Special Help Table'!$A860,SEARCH(";",'Special Help Table'!$A860)))&amp;" "&amp;MID('Special Help Table'!$A860,SEARCH("; ",'Special Help Table'!$A860)+2,SEARCH(",",'Special Help Table'!$A860,SEARCH(";",'Special Help Table'!$A860))-SEARCH(";",'Special Help Table'!$A860)-2),AND(LEN('Special Help Table'!$A860)-LEN(SUBSTITUTE('Special Help Table'!$A860,"and ",""))=0,LEN('Special Help Table'!$A860)-LEN(SUBSTITUTE('Special Help Table'!$A860,";",""))=0),'Special Help Table'!$A860,AND(LEN('Special Help Table'!$A860)-LEN(SUBSTITUTE('Special Help Table'!$A860,",","")=1),LEN('Special Help Table'!$A860)-LEN(SUBSTITUTE('Special Help Table'!$A860," ","")=20),LEN('Special Help Table'!$A860)-LEN(SUBSTITUTE('Special Help Table'!$A860," and",""))=0,LEN('Special Help Table'!$A860)-LEN(SUBSTITUTE('Special Help Table'!$A860,",","",FIND(" ",'Special Help Table'!$A860)+1))=0),RIGHT('Special Help Table'!$A860,LEN('Special Help Table'!$A860)-FIND(", ",'Special Help Table'!$A860))&amp;" "&amp;LEFT('Special Help Table'!$A860,FIND(",",'Special Help Table'!$A860)-1),AND(LEN('Special Help Table'!$A860)-LEN(SUBSTITUTE('Special Help Table'!$A860,"editor",""))=6,LEN('Special Help Table'!$A860)-LEN(SUBSTITUTE('Special Help Table'!$A860,"(",""))=0,LEN('Special Help Table'!$A860)-LEN(SUBSTITUTE('Special Help Table'!$A860,"and",""))=3,LEN('Special Help Table'!$A860)-LEN(SUBSTITUTE('Special Help Table'!$A860,",",""))=1,LEN('Special Help Table'!$A860)-LEN(SUBSTITUTE('Special Help Table'!$A860," ",""))=3),'Special Help Table'!$A860)</f>
        <v>0</v>
      </c>
      <c r="C860" s="4" t="s">
        <v>1553</v>
      </c>
      <c r="D860" s="2"/>
      <c r="E860" s="2" t="s">
        <v>1491</v>
      </c>
      <c r="F860" s="2"/>
      <c r="G860" s="2"/>
      <c r="H860" s="2"/>
      <c r="I860" s="2"/>
      <c r="J860" s="2"/>
      <c r="K860" s="3">
        <v>41122</v>
      </c>
      <c r="L860" s="2"/>
      <c r="M860" s="2" t="s">
        <v>1554</v>
      </c>
      <c r="N860" s="2" t="s">
        <v>1494</v>
      </c>
    </row>
    <row r="861" spans="1:14" ht="15.75" customHeight="1" x14ac:dyDescent="0.35">
      <c r="A861" s="2"/>
      <c r="B861" s="2" cm="1">
        <f t="array" ref="B861">_xlfn.IFS(AND(LEN('Special Help Table'!$A861)-(LEN(SUBSTITUTE('Special Help Table'!$A861,";","")))=0,LEN('Special Help Table'!$A861)-LEN(SUBSTITUTE('Special Help Table'!$A861,",",""))=1,LEN('Special Help Table'!$A861)-LEN(SUBSTITUTE('Special Help Table'!$A861,"and ",""))=0),MID('Special Help Table'!$A861&amp;" "&amp;'Special Help Table'!$A861,SEARCH(", ",'Special Help Table'!$A861)+1,LEN('Special Help Table'!$A861)),AND(LEN('Special Help Table'!$A861)-(LEN(SUBSTITUTE('Special Help Table'!$A861,";","")))=1,LEN('Special Help Table'!$A861)-LEN(SUBSTITUTE('Special Help Table'!$A861,"and ",""))=0),MID('Special Help Table'!$A861,SEARCH(",",'Special Help Table'!$A861)+1,(SEARCH(";",'Special Help Table'!$A861)-1)-SEARCH(",",'Special Help Table'!$A861))&amp;" "&amp;LEFT('Special Help Table'!$A861,SEARCH(",",'Special Help Table'!$A861)-1)&amp;";"&amp;RIGHT('Special Help Table'!$A861,LEN('Special Help Table'!$A861)-SEARCH(",",'Special Help Table'!$A861,SEARCH(";",'Special Help Table'!$A861)))&amp;" "&amp;MID('Special Help Table'!$A861,SEARCH("; ",'Special Help Table'!$A861)+2,SEARCH(",",'Special Help Table'!$A861,SEARCH(";",'Special Help Table'!$A861))-SEARCH(";",'Special Help Table'!$A861)-2),AND(LEN('Special Help Table'!$A861)-LEN(SUBSTITUTE('Special Help Table'!$A861,"and ",""))=0,LEN('Special Help Table'!$A861)-LEN(SUBSTITUTE('Special Help Table'!$A861,";",""))=0),'Special Help Table'!$A861,AND(LEN('Special Help Table'!$A861)-LEN(SUBSTITUTE('Special Help Table'!$A861,",","")=1),LEN('Special Help Table'!$A861)-LEN(SUBSTITUTE('Special Help Table'!$A861," ","")=20),LEN('Special Help Table'!$A861)-LEN(SUBSTITUTE('Special Help Table'!$A861," and",""))=0,LEN('Special Help Table'!$A861)-LEN(SUBSTITUTE('Special Help Table'!$A861,",","",FIND(" ",'Special Help Table'!$A861)+1))=0),RIGHT('Special Help Table'!$A861,LEN('Special Help Table'!$A861)-FIND(", ",'Special Help Table'!$A861))&amp;" "&amp;LEFT('Special Help Table'!$A861,FIND(",",'Special Help Table'!$A861)-1),AND(LEN('Special Help Table'!$A861)-LEN(SUBSTITUTE('Special Help Table'!$A861,"editor",""))=6,LEN('Special Help Table'!$A861)-LEN(SUBSTITUTE('Special Help Table'!$A861,"(",""))=0,LEN('Special Help Table'!$A861)-LEN(SUBSTITUTE('Special Help Table'!$A861,"and",""))=3,LEN('Special Help Table'!$A861)-LEN(SUBSTITUTE('Special Help Table'!$A861,",",""))=1,LEN('Special Help Table'!$A861)-LEN(SUBSTITUTE('Special Help Table'!$A861," ",""))=3),'Special Help Table'!$A861)</f>
        <v>0</v>
      </c>
      <c r="C861" s="4" t="s">
        <v>1555</v>
      </c>
      <c r="D861" s="2"/>
      <c r="E861" s="2" t="s">
        <v>1491</v>
      </c>
      <c r="F861" s="2"/>
      <c r="G861" s="2"/>
      <c r="H861" s="2"/>
      <c r="I861" s="2"/>
      <c r="J861" s="2"/>
      <c r="K861" s="3">
        <v>43100</v>
      </c>
      <c r="L861" s="2"/>
      <c r="M861" s="2"/>
      <c r="N861" s="2" t="s">
        <v>1494</v>
      </c>
    </row>
    <row r="862" spans="1:14" ht="15.75" customHeight="1" x14ac:dyDescent="0.35">
      <c r="A862" s="2"/>
      <c r="B862" s="2" cm="1">
        <f t="array" ref="B862">_xlfn.IFS(AND(LEN('Special Help Table'!$A862)-(LEN(SUBSTITUTE('Special Help Table'!$A862,";","")))=0,LEN('Special Help Table'!$A862)-LEN(SUBSTITUTE('Special Help Table'!$A862,",",""))=1,LEN('Special Help Table'!$A862)-LEN(SUBSTITUTE('Special Help Table'!$A862,"and ",""))=0),MID('Special Help Table'!$A862&amp;" "&amp;'Special Help Table'!$A862,SEARCH(", ",'Special Help Table'!$A862)+1,LEN('Special Help Table'!$A862)),AND(LEN('Special Help Table'!$A862)-(LEN(SUBSTITUTE('Special Help Table'!$A862,";","")))=1,LEN('Special Help Table'!$A862)-LEN(SUBSTITUTE('Special Help Table'!$A862,"and ",""))=0),MID('Special Help Table'!$A862,SEARCH(",",'Special Help Table'!$A862)+1,(SEARCH(";",'Special Help Table'!$A862)-1)-SEARCH(",",'Special Help Table'!$A862))&amp;" "&amp;LEFT('Special Help Table'!$A862,SEARCH(",",'Special Help Table'!$A862)-1)&amp;";"&amp;RIGHT('Special Help Table'!$A862,LEN('Special Help Table'!$A862)-SEARCH(",",'Special Help Table'!$A862,SEARCH(";",'Special Help Table'!$A862)))&amp;" "&amp;MID('Special Help Table'!$A862,SEARCH("; ",'Special Help Table'!$A862)+2,SEARCH(",",'Special Help Table'!$A862,SEARCH(";",'Special Help Table'!$A862))-SEARCH(";",'Special Help Table'!$A862)-2),AND(LEN('Special Help Table'!$A862)-LEN(SUBSTITUTE('Special Help Table'!$A862,"and ",""))=0,LEN('Special Help Table'!$A862)-LEN(SUBSTITUTE('Special Help Table'!$A862,";",""))=0),'Special Help Table'!$A862,AND(LEN('Special Help Table'!$A862)-LEN(SUBSTITUTE('Special Help Table'!$A862,",","")=1),LEN('Special Help Table'!$A862)-LEN(SUBSTITUTE('Special Help Table'!$A862," ","")=20),LEN('Special Help Table'!$A862)-LEN(SUBSTITUTE('Special Help Table'!$A862," and",""))=0,LEN('Special Help Table'!$A862)-LEN(SUBSTITUTE('Special Help Table'!$A862,",","",FIND(" ",'Special Help Table'!$A862)+1))=0),RIGHT('Special Help Table'!$A862,LEN('Special Help Table'!$A862)-FIND(", ",'Special Help Table'!$A862))&amp;" "&amp;LEFT('Special Help Table'!$A862,FIND(",",'Special Help Table'!$A862)-1),AND(LEN('Special Help Table'!$A862)-LEN(SUBSTITUTE('Special Help Table'!$A862,"editor",""))=6,LEN('Special Help Table'!$A862)-LEN(SUBSTITUTE('Special Help Table'!$A862,"(",""))=0,LEN('Special Help Table'!$A862)-LEN(SUBSTITUTE('Special Help Table'!$A862,"and",""))=3,LEN('Special Help Table'!$A862)-LEN(SUBSTITUTE('Special Help Table'!$A862,",",""))=1,LEN('Special Help Table'!$A862)-LEN(SUBSTITUTE('Special Help Table'!$A862," ",""))=3),'Special Help Table'!$A862)</f>
        <v>0</v>
      </c>
      <c r="C862" s="4" t="s">
        <v>1556</v>
      </c>
      <c r="D862" s="2"/>
      <c r="E862" s="2" t="s">
        <v>1491</v>
      </c>
      <c r="F862" s="2"/>
      <c r="G862" s="2"/>
      <c r="H862" s="2"/>
      <c r="I862" s="2"/>
      <c r="J862" s="2"/>
      <c r="K862" s="3">
        <v>40188</v>
      </c>
      <c r="L862" s="2"/>
      <c r="M862" s="2"/>
      <c r="N862" s="2" t="s">
        <v>1494</v>
      </c>
    </row>
    <row r="863" spans="1:14" ht="15.75" customHeight="1" x14ac:dyDescent="0.35">
      <c r="A863" s="2"/>
      <c r="B863" s="2" cm="1">
        <f t="array" ref="B863">_xlfn.IFS(AND(LEN('Special Help Table'!$A863)-(LEN(SUBSTITUTE('Special Help Table'!$A863,";","")))=0,LEN('Special Help Table'!$A863)-LEN(SUBSTITUTE('Special Help Table'!$A863,",",""))=1,LEN('Special Help Table'!$A863)-LEN(SUBSTITUTE('Special Help Table'!$A863,"and ",""))=0),MID('Special Help Table'!$A863&amp;" "&amp;'Special Help Table'!$A863,SEARCH(", ",'Special Help Table'!$A863)+1,LEN('Special Help Table'!$A863)),AND(LEN('Special Help Table'!$A863)-(LEN(SUBSTITUTE('Special Help Table'!$A863,";","")))=1,LEN('Special Help Table'!$A863)-LEN(SUBSTITUTE('Special Help Table'!$A863,"and ",""))=0),MID('Special Help Table'!$A863,SEARCH(",",'Special Help Table'!$A863)+1,(SEARCH(";",'Special Help Table'!$A863)-1)-SEARCH(",",'Special Help Table'!$A863))&amp;" "&amp;LEFT('Special Help Table'!$A863,SEARCH(",",'Special Help Table'!$A863)-1)&amp;";"&amp;RIGHT('Special Help Table'!$A863,LEN('Special Help Table'!$A863)-SEARCH(",",'Special Help Table'!$A863,SEARCH(";",'Special Help Table'!$A863)))&amp;" "&amp;MID('Special Help Table'!$A863,SEARCH("; ",'Special Help Table'!$A863)+2,SEARCH(",",'Special Help Table'!$A863,SEARCH(";",'Special Help Table'!$A863))-SEARCH(";",'Special Help Table'!$A863)-2),AND(LEN('Special Help Table'!$A863)-LEN(SUBSTITUTE('Special Help Table'!$A863,"and ",""))=0,LEN('Special Help Table'!$A863)-LEN(SUBSTITUTE('Special Help Table'!$A863,";",""))=0),'Special Help Table'!$A863,AND(LEN('Special Help Table'!$A863)-LEN(SUBSTITUTE('Special Help Table'!$A863,",","")=1),LEN('Special Help Table'!$A863)-LEN(SUBSTITUTE('Special Help Table'!$A863," ","")=20),LEN('Special Help Table'!$A863)-LEN(SUBSTITUTE('Special Help Table'!$A863," and",""))=0,LEN('Special Help Table'!$A863)-LEN(SUBSTITUTE('Special Help Table'!$A863,",","",FIND(" ",'Special Help Table'!$A863)+1))=0),RIGHT('Special Help Table'!$A863,LEN('Special Help Table'!$A863)-FIND(", ",'Special Help Table'!$A863))&amp;" "&amp;LEFT('Special Help Table'!$A863,FIND(",",'Special Help Table'!$A863)-1),AND(LEN('Special Help Table'!$A863)-LEN(SUBSTITUTE('Special Help Table'!$A863,"editor",""))=6,LEN('Special Help Table'!$A863)-LEN(SUBSTITUTE('Special Help Table'!$A863,"(",""))=0,LEN('Special Help Table'!$A863)-LEN(SUBSTITUTE('Special Help Table'!$A863,"and",""))=3,LEN('Special Help Table'!$A863)-LEN(SUBSTITUTE('Special Help Table'!$A863,",",""))=1,LEN('Special Help Table'!$A863)-LEN(SUBSTITUTE('Special Help Table'!$A863," ",""))=3),'Special Help Table'!$A863)</f>
        <v>0</v>
      </c>
      <c r="C863" s="4" t="s">
        <v>1557</v>
      </c>
      <c r="D863" s="2"/>
      <c r="E863" s="2" t="s">
        <v>1491</v>
      </c>
      <c r="F863" s="2"/>
      <c r="G863" s="2"/>
      <c r="H863" s="2"/>
      <c r="I863" s="2"/>
      <c r="J863" s="2"/>
      <c r="K863" s="3">
        <v>40188</v>
      </c>
      <c r="L863" s="2"/>
      <c r="M863" s="2"/>
      <c r="N863" s="2" t="s">
        <v>1494</v>
      </c>
    </row>
    <row r="864" spans="1:14" ht="15.75" customHeight="1" x14ac:dyDescent="0.35">
      <c r="A864" s="2"/>
      <c r="B864" s="2" cm="1">
        <f t="array" ref="B864">_xlfn.IFS(AND(LEN('Special Help Table'!$A864)-(LEN(SUBSTITUTE('Special Help Table'!$A864,";","")))=0,LEN('Special Help Table'!$A864)-LEN(SUBSTITUTE('Special Help Table'!$A864,",",""))=1,LEN('Special Help Table'!$A864)-LEN(SUBSTITUTE('Special Help Table'!$A864,"and ",""))=0),MID('Special Help Table'!$A864&amp;" "&amp;'Special Help Table'!$A864,SEARCH(", ",'Special Help Table'!$A864)+1,LEN('Special Help Table'!$A864)),AND(LEN('Special Help Table'!$A864)-(LEN(SUBSTITUTE('Special Help Table'!$A864,";","")))=1,LEN('Special Help Table'!$A864)-LEN(SUBSTITUTE('Special Help Table'!$A864,"and ",""))=0),MID('Special Help Table'!$A864,SEARCH(",",'Special Help Table'!$A864)+1,(SEARCH(";",'Special Help Table'!$A864)-1)-SEARCH(",",'Special Help Table'!$A864))&amp;" "&amp;LEFT('Special Help Table'!$A864,SEARCH(",",'Special Help Table'!$A864)-1)&amp;";"&amp;RIGHT('Special Help Table'!$A864,LEN('Special Help Table'!$A864)-SEARCH(",",'Special Help Table'!$A864,SEARCH(";",'Special Help Table'!$A864)))&amp;" "&amp;MID('Special Help Table'!$A864,SEARCH("; ",'Special Help Table'!$A864)+2,SEARCH(",",'Special Help Table'!$A864,SEARCH(";",'Special Help Table'!$A864))-SEARCH(";",'Special Help Table'!$A864)-2),AND(LEN('Special Help Table'!$A864)-LEN(SUBSTITUTE('Special Help Table'!$A864,"and ",""))=0,LEN('Special Help Table'!$A864)-LEN(SUBSTITUTE('Special Help Table'!$A864,";",""))=0),'Special Help Table'!$A864,AND(LEN('Special Help Table'!$A864)-LEN(SUBSTITUTE('Special Help Table'!$A864,",","")=1),LEN('Special Help Table'!$A864)-LEN(SUBSTITUTE('Special Help Table'!$A864," ","")=20),LEN('Special Help Table'!$A864)-LEN(SUBSTITUTE('Special Help Table'!$A864," and",""))=0,LEN('Special Help Table'!$A864)-LEN(SUBSTITUTE('Special Help Table'!$A864,",","",FIND(" ",'Special Help Table'!$A864)+1))=0),RIGHT('Special Help Table'!$A864,LEN('Special Help Table'!$A864)-FIND(", ",'Special Help Table'!$A864))&amp;" "&amp;LEFT('Special Help Table'!$A864,FIND(",",'Special Help Table'!$A864)-1),AND(LEN('Special Help Table'!$A864)-LEN(SUBSTITUTE('Special Help Table'!$A864,"editor",""))=6,LEN('Special Help Table'!$A864)-LEN(SUBSTITUTE('Special Help Table'!$A864,"(",""))=0,LEN('Special Help Table'!$A864)-LEN(SUBSTITUTE('Special Help Table'!$A864,"and",""))=3,LEN('Special Help Table'!$A864)-LEN(SUBSTITUTE('Special Help Table'!$A864,",",""))=1,LEN('Special Help Table'!$A864)-LEN(SUBSTITUTE('Special Help Table'!$A864," ",""))=3),'Special Help Table'!$A864)</f>
        <v>0</v>
      </c>
      <c r="C864" s="4" t="s">
        <v>1558</v>
      </c>
      <c r="D864" s="2"/>
      <c r="E864" s="2" t="s">
        <v>1491</v>
      </c>
      <c r="F864" s="2"/>
      <c r="G864" s="2"/>
      <c r="H864" s="2"/>
      <c r="I864" s="2"/>
      <c r="J864" s="2"/>
      <c r="K864" s="3">
        <v>42675</v>
      </c>
      <c r="L864" s="2"/>
      <c r="M864" s="2" t="s">
        <v>1252</v>
      </c>
      <c r="N864" s="2" t="s">
        <v>1494</v>
      </c>
    </row>
    <row r="865" spans="1:14" ht="15.75" customHeight="1" x14ac:dyDescent="0.35">
      <c r="A865" s="2"/>
      <c r="B865" s="2" cm="1">
        <f t="array" ref="B865">_xlfn.IFS(AND(LEN('Special Help Table'!$A865)-(LEN(SUBSTITUTE('Special Help Table'!$A865,";","")))=0,LEN('Special Help Table'!$A865)-LEN(SUBSTITUTE('Special Help Table'!$A865,",",""))=1,LEN('Special Help Table'!$A865)-LEN(SUBSTITUTE('Special Help Table'!$A865,"and ",""))=0),MID('Special Help Table'!$A865&amp;" "&amp;'Special Help Table'!$A865,SEARCH(", ",'Special Help Table'!$A865)+1,LEN('Special Help Table'!$A865)),AND(LEN('Special Help Table'!$A865)-(LEN(SUBSTITUTE('Special Help Table'!$A865,";","")))=1,LEN('Special Help Table'!$A865)-LEN(SUBSTITUTE('Special Help Table'!$A865,"and ",""))=0),MID('Special Help Table'!$A865,SEARCH(",",'Special Help Table'!$A865)+1,(SEARCH(";",'Special Help Table'!$A865)-1)-SEARCH(",",'Special Help Table'!$A865))&amp;" "&amp;LEFT('Special Help Table'!$A865,SEARCH(",",'Special Help Table'!$A865)-1)&amp;";"&amp;RIGHT('Special Help Table'!$A865,LEN('Special Help Table'!$A865)-SEARCH(",",'Special Help Table'!$A865,SEARCH(";",'Special Help Table'!$A865)))&amp;" "&amp;MID('Special Help Table'!$A865,SEARCH("; ",'Special Help Table'!$A865)+2,SEARCH(",",'Special Help Table'!$A865,SEARCH(";",'Special Help Table'!$A865))-SEARCH(";",'Special Help Table'!$A865)-2),AND(LEN('Special Help Table'!$A865)-LEN(SUBSTITUTE('Special Help Table'!$A865,"and ",""))=0,LEN('Special Help Table'!$A865)-LEN(SUBSTITUTE('Special Help Table'!$A865,";",""))=0),'Special Help Table'!$A865,AND(LEN('Special Help Table'!$A865)-LEN(SUBSTITUTE('Special Help Table'!$A865,",","")=1),LEN('Special Help Table'!$A865)-LEN(SUBSTITUTE('Special Help Table'!$A865," ","")=20),LEN('Special Help Table'!$A865)-LEN(SUBSTITUTE('Special Help Table'!$A865," and",""))=0,LEN('Special Help Table'!$A865)-LEN(SUBSTITUTE('Special Help Table'!$A865,",","",FIND(" ",'Special Help Table'!$A865)+1))=0),RIGHT('Special Help Table'!$A865,LEN('Special Help Table'!$A865)-FIND(", ",'Special Help Table'!$A865))&amp;" "&amp;LEFT('Special Help Table'!$A865,FIND(",",'Special Help Table'!$A865)-1),AND(LEN('Special Help Table'!$A865)-LEN(SUBSTITUTE('Special Help Table'!$A865,"editor",""))=6,LEN('Special Help Table'!$A865)-LEN(SUBSTITUTE('Special Help Table'!$A865,"(",""))=0,LEN('Special Help Table'!$A865)-LEN(SUBSTITUTE('Special Help Table'!$A865,"and",""))=3,LEN('Special Help Table'!$A865)-LEN(SUBSTITUTE('Special Help Table'!$A865,",",""))=1,LEN('Special Help Table'!$A865)-LEN(SUBSTITUTE('Special Help Table'!$A865," ",""))=3),'Special Help Table'!$A865)</f>
        <v>0</v>
      </c>
      <c r="C865" s="4" t="s">
        <v>1259</v>
      </c>
      <c r="D865" s="2"/>
      <c r="E865" s="2" t="s">
        <v>1491</v>
      </c>
      <c r="F865" s="2"/>
      <c r="G865" s="2"/>
      <c r="H865" s="2"/>
      <c r="I865" s="2"/>
      <c r="J865" s="2"/>
      <c r="K865" s="3">
        <v>41684</v>
      </c>
      <c r="L865" s="2"/>
      <c r="M865" s="2" t="s">
        <v>1252</v>
      </c>
      <c r="N865" s="2" t="s">
        <v>1494</v>
      </c>
    </row>
    <row r="866" spans="1:14" ht="15.75" customHeight="1" x14ac:dyDescent="0.35">
      <c r="A866" s="2"/>
      <c r="B866" s="2" cm="1">
        <f t="array" ref="B866">_xlfn.IFS(AND(LEN('Special Help Table'!$A866)-(LEN(SUBSTITUTE('Special Help Table'!$A866,";","")))=0,LEN('Special Help Table'!$A866)-LEN(SUBSTITUTE('Special Help Table'!$A866,",",""))=1,LEN('Special Help Table'!$A866)-LEN(SUBSTITUTE('Special Help Table'!$A866,"and ",""))=0),MID('Special Help Table'!$A866&amp;" "&amp;'Special Help Table'!$A866,SEARCH(", ",'Special Help Table'!$A866)+1,LEN('Special Help Table'!$A866)),AND(LEN('Special Help Table'!$A866)-(LEN(SUBSTITUTE('Special Help Table'!$A866,";","")))=1,LEN('Special Help Table'!$A866)-LEN(SUBSTITUTE('Special Help Table'!$A866,"and ",""))=0),MID('Special Help Table'!$A866,SEARCH(",",'Special Help Table'!$A866)+1,(SEARCH(";",'Special Help Table'!$A866)-1)-SEARCH(",",'Special Help Table'!$A866))&amp;" "&amp;LEFT('Special Help Table'!$A866,SEARCH(",",'Special Help Table'!$A866)-1)&amp;";"&amp;RIGHT('Special Help Table'!$A866,LEN('Special Help Table'!$A866)-SEARCH(",",'Special Help Table'!$A866,SEARCH(";",'Special Help Table'!$A866)))&amp;" "&amp;MID('Special Help Table'!$A866,SEARCH("; ",'Special Help Table'!$A866)+2,SEARCH(",",'Special Help Table'!$A866,SEARCH(";",'Special Help Table'!$A866))-SEARCH(";",'Special Help Table'!$A866)-2),AND(LEN('Special Help Table'!$A866)-LEN(SUBSTITUTE('Special Help Table'!$A866,"and ",""))=0,LEN('Special Help Table'!$A866)-LEN(SUBSTITUTE('Special Help Table'!$A866,";",""))=0),'Special Help Table'!$A866,AND(LEN('Special Help Table'!$A866)-LEN(SUBSTITUTE('Special Help Table'!$A866,",","")=1),LEN('Special Help Table'!$A866)-LEN(SUBSTITUTE('Special Help Table'!$A866," ","")=20),LEN('Special Help Table'!$A866)-LEN(SUBSTITUTE('Special Help Table'!$A866," and",""))=0,LEN('Special Help Table'!$A866)-LEN(SUBSTITUTE('Special Help Table'!$A866,",","",FIND(" ",'Special Help Table'!$A866)+1))=0),RIGHT('Special Help Table'!$A866,LEN('Special Help Table'!$A866)-FIND(", ",'Special Help Table'!$A866))&amp;" "&amp;LEFT('Special Help Table'!$A866,FIND(",",'Special Help Table'!$A866)-1),AND(LEN('Special Help Table'!$A866)-LEN(SUBSTITUTE('Special Help Table'!$A866,"editor",""))=6,LEN('Special Help Table'!$A866)-LEN(SUBSTITUTE('Special Help Table'!$A866,"(",""))=0,LEN('Special Help Table'!$A866)-LEN(SUBSTITUTE('Special Help Table'!$A866,"and",""))=3,LEN('Special Help Table'!$A866)-LEN(SUBSTITUTE('Special Help Table'!$A866,",",""))=1,LEN('Special Help Table'!$A866)-LEN(SUBSTITUTE('Special Help Table'!$A866," ",""))=3),'Special Help Table'!$A866)</f>
        <v>0</v>
      </c>
      <c r="C866" s="4" t="s">
        <v>1559</v>
      </c>
      <c r="D866" s="2"/>
      <c r="E866" s="2" t="s">
        <v>1491</v>
      </c>
      <c r="F866" s="2"/>
      <c r="G866" s="2"/>
      <c r="H866" s="2"/>
      <c r="I866" s="2"/>
      <c r="J866" s="2"/>
      <c r="K866" s="3">
        <v>41122</v>
      </c>
      <c r="L866" s="2"/>
      <c r="M866" s="2"/>
      <c r="N866" s="2" t="s">
        <v>1494</v>
      </c>
    </row>
    <row r="867" spans="1:14" ht="15.75" customHeight="1" x14ac:dyDescent="0.35">
      <c r="A867" s="2"/>
      <c r="B867" s="2" cm="1">
        <f t="array" ref="B867">_xlfn.IFS(AND(LEN('Special Help Table'!$A867)-(LEN(SUBSTITUTE('Special Help Table'!$A867,";","")))=0,LEN('Special Help Table'!$A867)-LEN(SUBSTITUTE('Special Help Table'!$A867,",",""))=1,LEN('Special Help Table'!$A867)-LEN(SUBSTITUTE('Special Help Table'!$A867,"and ",""))=0),MID('Special Help Table'!$A867&amp;" "&amp;'Special Help Table'!$A867,SEARCH(", ",'Special Help Table'!$A867)+1,LEN('Special Help Table'!$A867)),AND(LEN('Special Help Table'!$A867)-(LEN(SUBSTITUTE('Special Help Table'!$A867,";","")))=1,LEN('Special Help Table'!$A867)-LEN(SUBSTITUTE('Special Help Table'!$A867,"and ",""))=0),MID('Special Help Table'!$A867,SEARCH(",",'Special Help Table'!$A867)+1,(SEARCH(";",'Special Help Table'!$A867)-1)-SEARCH(",",'Special Help Table'!$A867))&amp;" "&amp;LEFT('Special Help Table'!$A867,SEARCH(",",'Special Help Table'!$A867)-1)&amp;";"&amp;RIGHT('Special Help Table'!$A867,LEN('Special Help Table'!$A867)-SEARCH(",",'Special Help Table'!$A867,SEARCH(";",'Special Help Table'!$A867)))&amp;" "&amp;MID('Special Help Table'!$A867,SEARCH("; ",'Special Help Table'!$A867)+2,SEARCH(",",'Special Help Table'!$A867,SEARCH(";",'Special Help Table'!$A867))-SEARCH(";",'Special Help Table'!$A867)-2),AND(LEN('Special Help Table'!$A867)-LEN(SUBSTITUTE('Special Help Table'!$A867,"and ",""))=0,LEN('Special Help Table'!$A867)-LEN(SUBSTITUTE('Special Help Table'!$A867,";",""))=0),'Special Help Table'!$A867,AND(LEN('Special Help Table'!$A867)-LEN(SUBSTITUTE('Special Help Table'!$A867,",","")=1),LEN('Special Help Table'!$A867)-LEN(SUBSTITUTE('Special Help Table'!$A867," ","")=20),LEN('Special Help Table'!$A867)-LEN(SUBSTITUTE('Special Help Table'!$A867," and",""))=0,LEN('Special Help Table'!$A867)-LEN(SUBSTITUTE('Special Help Table'!$A867,",","",FIND(" ",'Special Help Table'!$A867)+1))=0),RIGHT('Special Help Table'!$A867,LEN('Special Help Table'!$A867)-FIND(", ",'Special Help Table'!$A867))&amp;" "&amp;LEFT('Special Help Table'!$A867,FIND(",",'Special Help Table'!$A867)-1),AND(LEN('Special Help Table'!$A867)-LEN(SUBSTITUTE('Special Help Table'!$A867,"editor",""))=6,LEN('Special Help Table'!$A867)-LEN(SUBSTITUTE('Special Help Table'!$A867,"(",""))=0,LEN('Special Help Table'!$A867)-LEN(SUBSTITUTE('Special Help Table'!$A867,"and",""))=3,LEN('Special Help Table'!$A867)-LEN(SUBSTITUTE('Special Help Table'!$A867,",",""))=1,LEN('Special Help Table'!$A867)-LEN(SUBSTITUTE('Special Help Table'!$A867," ",""))=3),'Special Help Table'!$A867)</f>
        <v>0</v>
      </c>
      <c r="C867" s="4" t="s">
        <v>1560</v>
      </c>
      <c r="D867" s="2"/>
      <c r="E867" s="2" t="s">
        <v>1491</v>
      </c>
      <c r="F867" s="2"/>
      <c r="G867" s="2"/>
      <c r="H867" s="2"/>
      <c r="I867" s="2"/>
      <c r="J867" s="2"/>
      <c r="K867" s="3">
        <v>41346</v>
      </c>
      <c r="L867" s="2"/>
      <c r="M867" s="2"/>
      <c r="N867" s="2" t="s">
        <v>1494</v>
      </c>
    </row>
    <row r="868" spans="1:14" ht="15.75" customHeight="1" x14ac:dyDescent="0.35">
      <c r="A868" s="2"/>
      <c r="B868" s="2" cm="1">
        <f t="array" ref="B868">_xlfn.IFS(AND(LEN('Special Help Table'!$A868)-(LEN(SUBSTITUTE('Special Help Table'!$A868,";","")))=0,LEN('Special Help Table'!$A868)-LEN(SUBSTITUTE('Special Help Table'!$A868,",",""))=1,LEN('Special Help Table'!$A868)-LEN(SUBSTITUTE('Special Help Table'!$A868,"and ",""))=0),MID('Special Help Table'!$A868&amp;" "&amp;'Special Help Table'!$A868,SEARCH(", ",'Special Help Table'!$A868)+1,LEN('Special Help Table'!$A868)),AND(LEN('Special Help Table'!$A868)-(LEN(SUBSTITUTE('Special Help Table'!$A868,";","")))=1,LEN('Special Help Table'!$A868)-LEN(SUBSTITUTE('Special Help Table'!$A868,"and ",""))=0),MID('Special Help Table'!$A868,SEARCH(",",'Special Help Table'!$A868)+1,(SEARCH(";",'Special Help Table'!$A868)-1)-SEARCH(",",'Special Help Table'!$A868))&amp;" "&amp;LEFT('Special Help Table'!$A868,SEARCH(",",'Special Help Table'!$A868)-1)&amp;";"&amp;RIGHT('Special Help Table'!$A868,LEN('Special Help Table'!$A868)-SEARCH(",",'Special Help Table'!$A868,SEARCH(";",'Special Help Table'!$A868)))&amp;" "&amp;MID('Special Help Table'!$A868,SEARCH("; ",'Special Help Table'!$A868)+2,SEARCH(",",'Special Help Table'!$A868,SEARCH(";",'Special Help Table'!$A868))-SEARCH(";",'Special Help Table'!$A868)-2),AND(LEN('Special Help Table'!$A868)-LEN(SUBSTITUTE('Special Help Table'!$A868,"and ",""))=0,LEN('Special Help Table'!$A868)-LEN(SUBSTITUTE('Special Help Table'!$A868,";",""))=0),'Special Help Table'!$A868,AND(LEN('Special Help Table'!$A868)-LEN(SUBSTITUTE('Special Help Table'!$A868,",","")=1),LEN('Special Help Table'!$A868)-LEN(SUBSTITUTE('Special Help Table'!$A868," ","")=20),LEN('Special Help Table'!$A868)-LEN(SUBSTITUTE('Special Help Table'!$A868," and",""))=0,LEN('Special Help Table'!$A868)-LEN(SUBSTITUTE('Special Help Table'!$A868,",","",FIND(" ",'Special Help Table'!$A868)+1))=0),RIGHT('Special Help Table'!$A868,LEN('Special Help Table'!$A868)-FIND(", ",'Special Help Table'!$A868))&amp;" "&amp;LEFT('Special Help Table'!$A868,FIND(",",'Special Help Table'!$A868)-1),AND(LEN('Special Help Table'!$A868)-LEN(SUBSTITUTE('Special Help Table'!$A868,"editor",""))=6,LEN('Special Help Table'!$A868)-LEN(SUBSTITUTE('Special Help Table'!$A868,"(",""))=0,LEN('Special Help Table'!$A868)-LEN(SUBSTITUTE('Special Help Table'!$A868,"and",""))=3,LEN('Special Help Table'!$A868)-LEN(SUBSTITUTE('Special Help Table'!$A868,",",""))=1,LEN('Special Help Table'!$A868)-LEN(SUBSTITUTE('Special Help Table'!$A868," ",""))=3),'Special Help Table'!$A868)</f>
        <v>0</v>
      </c>
      <c r="C868" s="4" t="s">
        <v>1561</v>
      </c>
      <c r="D868" s="2"/>
      <c r="E868" s="2" t="s">
        <v>1491</v>
      </c>
      <c r="F868" s="2"/>
      <c r="G868" s="2"/>
      <c r="H868" s="2"/>
      <c r="I868" s="2"/>
      <c r="J868" s="2"/>
      <c r="K868" s="3"/>
      <c r="L868" s="2"/>
      <c r="M868" s="2"/>
      <c r="N868" s="2" t="s">
        <v>1494</v>
      </c>
    </row>
    <row r="869" spans="1:14" ht="15.75" customHeight="1" x14ac:dyDescent="0.35">
      <c r="A869" s="2"/>
      <c r="B869" s="2" cm="1">
        <f t="array" ref="B869">_xlfn.IFS(AND(LEN('Special Help Table'!$A869)-(LEN(SUBSTITUTE('Special Help Table'!$A869,";","")))=0,LEN('Special Help Table'!$A869)-LEN(SUBSTITUTE('Special Help Table'!$A869,",",""))=1,LEN('Special Help Table'!$A869)-LEN(SUBSTITUTE('Special Help Table'!$A869,"and ",""))=0),MID('Special Help Table'!$A869&amp;" "&amp;'Special Help Table'!$A869,SEARCH(", ",'Special Help Table'!$A869)+1,LEN('Special Help Table'!$A869)),AND(LEN('Special Help Table'!$A869)-(LEN(SUBSTITUTE('Special Help Table'!$A869,";","")))=1,LEN('Special Help Table'!$A869)-LEN(SUBSTITUTE('Special Help Table'!$A869,"and ",""))=0),MID('Special Help Table'!$A869,SEARCH(",",'Special Help Table'!$A869)+1,(SEARCH(";",'Special Help Table'!$A869)-1)-SEARCH(",",'Special Help Table'!$A869))&amp;" "&amp;LEFT('Special Help Table'!$A869,SEARCH(",",'Special Help Table'!$A869)-1)&amp;";"&amp;RIGHT('Special Help Table'!$A869,LEN('Special Help Table'!$A869)-SEARCH(",",'Special Help Table'!$A869,SEARCH(";",'Special Help Table'!$A869)))&amp;" "&amp;MID('Special Help Table'!$A869,SEARCH("; ",'Special Help Table'!$A869)+2,SEARCH(",",'Special Help Table'!$A869,SEARCH(";",'Special Help Table'!$A869))-SEARCH(";",'Special Help Table'!$A869)-2),AND(LEN('Special Help Table'!$A869)-LEN(SUBSTITUTE('Special Help Table'!$A869,"and ",""))=0,LEN('Special Help Table'!$A869)-LEN(SUBSTITUTE('Special Help Table'!$A869,";",""))=0),'Special Help Table'!$A869,AND(LEN('Special Help Table'!$A869)-LEN(SUBSTITUTE('Special Help Table'!$A869,",","")=1),LEN('Special Help Table'!$A869)-LEN(SUBSTITUTE('Special Help Table'!$A869," ","")=20),LEN('Special Help Table'!$A869)-LEN(SUBSTITUTE('Special Help Table'!$A869," and",""))=0,LEN('Special Help Table'!$A869)-LEN(SUBSTITUTE('Special Help Table'!$A869,",","",FIND(" ",'Special Help Table'!$A869)+1))=0),RIGHT('Special Help Table'!$A869,LEN('Special Help Table'!$A869)-FIND(", ",'Special Help Table'!$A869))&amp;" "&amp;LEFT('Special Help Table'!$A869,FIND(",",'Special Help Table'!$A869)-1),AND(LEN('Special Help Table'!$A869)-LEN(SUBSTITUTE('Special Help Table'!$A869,"editor",""))=6,LEN('Special Help Table'!$A869)-LEN(SUBSTITUTE('Special Help Table'!$A869,"(",""))=0,LEN('Special Help Table'!$A869)-LEN(SUBSTITUTE('Special Help Table'!$A869,"and",""))=3,LEN('Special Help Table'!$A869)-LEN(SUBSTITUTE('Special Help Table'!$A869,",",""))=1,LEN('Special Help Table'!$A869)-LEN(SUBSTITUTE('Special Help Table'!$A869," ",""))=3),'Special Help Table'!$A869)</f>
        <v>0</v>
      </c>
      <c r="C869" s="4" t="s">
        <v>1562</v>
      </c>
      <c r="D869" s="2"/>
      <c r="E869" s="2" t="s">
        <v>1491</v>
      </c>
      <c r="F869" s="2"/>
      <c r="G869" s="2"/>
      <c r="H869" s="2"/>
      <c r="I869" s="2"/>
      <c r="J869" s="2"/>
      <c r="K869" s="3">
        <v>42019</v>
      </c>
      <c r="L869" s="2"/>
      <c r="M869" s="2"/>
      <c r="N869" s="2" t="s">
        <v>1494</v>
      </c>
    </row>
    <row r="870" spans="1:14" ht="15.75" customHeight="1" x14ac:dyDescent="0.35">
      <c r="A870" s="2"/>
      <c r="B870" s="2" cm="1">
        <f t="array" ref="B870">_xlfn.IFS(AND(LEN('Special Help Table'!$A870)-(LEN(SUBSTITUTE('Special Help Table'!$A870,";","")))=0,LEN('Special Help Table'!$A870)-LEN(SUBSTITUTE('Special Help Table'!$A870,",",""))=1,LEN('Special Help Table'!$A870)-LEN(SUBSTITUTE('Special Help Table'!$A870,"and ",""))=0),MID('Special Help Table'!$A870&amp;" "&amp;'Special Help Table'!$A870,SEARCH(", ",'Special Help Table'!$A870)+1,LEN('Special Help Table'!$A870)),AND(LEN('Special Help Table'!$A870)-(LEN(SUBSTITUTE('Special Help Table'!$A870,";","")))=1,LEN('Special Help Table'!$A870)-LEN(SUBSTITUTE('Special Help Table'!$A870,"and ",""))=0),MID('Special Help Table'!$A870,SEARCH(",",'Special Help Table'!$A870)+1,(SEARCH(";",'Special Help Table'!$A870)-1)-SEARCH(",",'Special Help Table'!$A870))&amp;" "&amp;LEFT('Special Help Table'!$A870,SEARCH(",",'Special Help Table'!$A870)-1)&amp;";"&amp;RIGHT('Special Help Table'!$A870,LEN('Special Help Table'!$A870)-SEARCH(",",'Special Help Table'!$A870,SEARCH(";",'Special Help Table'!$A870)))&amp;" "&amp;MID('Special Help Table'!$A870,SEARCH("; ",'Special Help Table'!$A870)+2,SEARCH(",",'Special Help Table'!$A870,SEARCH(";",'Special Help Table'!$A870))-SEARCH(";",'Special Help Table'!$A870)-2),AND(LEN('Special Help Table'!$A870)-LEN(SUBSTITUTE('Special Help Table'!$A870,"and ",""))=0,LEN('Special Help Table'!$A870)-LEN(SUBSTITUTE('Special Help Table'!$A870,";",""))=0),'Special Help Table'!$A870,AND(LEN('Special Help Table'!$A870)-LEN(SUBSTITUTE('Special Help Table'!$A870,",","")=1),LEN('Special Help Table'!$A870)-LEN(SUBSTITUTE('Special Help Table'!$A870," ","")=20),LEN('Special Help Table'!$A870)-LEN(SUBSTITUTE('Special Help Table'!$A870," and",""))=0,LEN('Special Help Table'!$A870)-LEN(SUBSTITUTE('Special Help Table'!$A870,",","",FIND(" ",'Special Help Table'!$A870)+1))=0),RIGHT('Special Help Table'!$A870,LEN('Special Help Table'!$A870)-FIND(", ",'Special Help Table'!$A870))&amp;" "&amp;LEFT('Special Help Table'!$A870,FIND(",",'Special Help Table'!$A870)-1),AND(LEN('Special Help Table'!$A870)-LEN(SUBSTITUTE('Special Help Table'!$A870,"editor",""))=6,LEN('Special Help Table'!$A870)-LEN(SUBSTITUTE('Special Help Table'!$A870,"(",""))=0,LEN('Special Help Table'!$A870)-LEN(SUBSTITUTE('Special Help Table'!$A870,"and",""))=3,LEN('Special Help Table'!$A870)-LEN(SUBSTITUTE('Special Help Table'!$A870,",",""))=1,LEN('Special Help Table'!$A870)-LEN(SUBSTITUTE('Special Help Table'!$A870," ",""))=3),'Special Help Table'!$A870)</f>
        <v>0</v>
      </c>
      <c r="C870" s="4" t="s">
        <v>1563</v>
      </c>
      <c r="D870" s="2"/>
      <c r="E870" s="2" t="s">
        <v>1491</v>
      </c>
      <c r="F870" s="2"/>
      <c r="G870" s="2"/>
      <c r="H870" s="2"/>
      <c r="I870" s="2"/>
      <c r="J870" s="2"/>
      <c r="K870" s="3">
        <v>40909</v>
      </c>
      <c r="L870" s="2"/>
      <c r="M870" s="2"/>
      <c r="N870" s="2" t="s">
        <v>1494</v>
      </c>
    </row>
    <row r="871" spans="1:14" ht="15.75" customHeight="1" x14ac:dyDescent="0.35">
      <c r="A871" s="2"/>
      <c r="B871" s="2" cm="1">
        <f t="array" ref="B871">_xlfn.IFS(AND(LEN('Special Help Table'!$A871)-(LEN(SUBSTITUTE('Special Help Table'!$A871,";","")))=0,LEN('Special Help Table'!$A871)-LEN(SUBSTITUTE('Special Help Table'!$A871,",",""))=1,LEN('Special Help Table'!$A871)-LEN(SUBSTITUTE('Special Help Table'!$A871,"and ",""))=0),MID('Special Help Table'!$A871&amp;" "&amp;'Special Help Table'!$A871,SEARCH(", ",'Special Help Table'!$A871)+1,LEN('Special Help Table'!$A871)),AND(LEN('Special Help Table'!$A871)-(LEN(SUBSTITUTE('Special Help Table'!$A871,";","")))=1,LEN('Special Help Table'!$A871)-LEN(SUBSTITUTE('Special Help Table'!$A871,"and ",""))=0),MID('Special Help Table'!$A871,SEARCH(",",'Special Help Table'!$A871)+1,(SEARCH(";",'Special Help Table'!$A871)-1)-SEARCH(",",'Special Help Table'!$A871))&amp;" "&amp;LEFT('Special Help Table'!$A871,SEARCH(",",'Special Help Table'!$A871)-1)&amp;";"&amp;RIGHT('Special Help Table'!$A871,LEN('Special Help Table'!$A871)-SEARCH(",",'Special Help Table'!$A871,SEARCH(";",'Special Help Table'!$A871)))&amp;" "&amp;MID('Special Help Table'!$A871,SEARCH("; ",'Special Help Table'!$A871)+2,SEARCH(",",'Special Help Table'!$A871,SEARCH(";",'Special Help Table'!$A871))-SEARCH(";",'Special Help Table'!$A871)-2),AND(LEN('Special Help Table'!$A871)-LEN(SUBSTITUTE('Special Help Table'!$A871,"and ",""))=0,LEN('Special Help Table'!$A871)-LEN(SUBSTITUTE('Special Help Table'!$A871,";",""))=0),'Special Help Table'!$A871,AND(LEN('Special Help Table'!$A871)-LEN(SUBSTITUTE('Special Help Table'!$A871,",","")=1),LEN('Special Help Table'!$A871)-LEN(SUBSTITUTE('Special Help Table'!$A871," ","")=20),LEN('Special Help Table'!$A871)-LEN(SUBSTITUTE('Special Help Table'!$A871," and",""))=0,LEN('Special Help Table'!$A871)-LEN(SUBSTITUTE('Special Help Table'!$A871,",","",FIND(" ",'Special Help Table'!$A871)+1))=0),RIGHT('Special Help Table'!$A871,LEN('Special Help Table'!$A871)-FIND(", ",'Special Help Table'!$A871))&amp;" "&amp;LEFT('Special Help Table'!$A871,FIND(",",'Special Help Table'!$A871)-1),AND(LEN('Special Help Table'!$A871)-LEN(SUBSTITUTE('Special Help Table'!$A871,"editor",""))=6,LEN('Special Help Table'!$A871)-LEN(SUBSTITUTE('Special Help Table'!$A871,"(",""))=0,LEN('Special Help Table'!$A871)-LEN(SUBSTITUTE('Special Help Table'!$A871,"and",""))=3,LEN('Special Help Table'!$A871)-LEN(SUBSTITUTE('Special Help Table'!$A871,",",""))=1,LEN('Special Help Table'!$A871)-LEN(SUBSTITUTE('Special Help Table'!$A871," ",""))=3),'Special Help Table'!$A871)</f>
        <v>0</v>
      </c>
      <c r="C871" s="4" t="s">
        <v>1564</v>
      </c>
      <c r="D871" s="2"/>
      <c r="E871" s="2" t="s">
        <v>1491</v>
      </c>
      <c r="F871" s="2"/>
      <c r="G871" s="2"/>
      <c r="H871" s="2"/>
      <c r="I871" s="2"/>
      <c r="J871" s="2"/>
      <c r="K871" s="3">
        <v>40827</v>
      </c>
      <c r="L871" s="2" t="s">
        <v>1565</v>
      </c>
      <c r="M871" s="2"/>
      <c r="N871" s="2" t="s">
        <v>1494</v>
      </c>
    </row>
    <row r="872" spans="1:14" ht="15.75" customHeight="1" x14ac:dyDescent="0.35">
      <c r="A872" s="2"/>
      <c r="B872" s="2" cm="1">
        <f t="array" ref="B872">_xlfn.IFS(AND(LEN('Special Help Table'!$A872)-(LEN(SUBSTITUTE('Special Help Table'!$A872,";","")))=0,LEN('Special Help Table'!$A872)-LEN(SUBSTITUTE('Special Help Table'!$A872,",",""))=1,LEN('Special Help Table'!$A872)-LEN(SUBSTITUTE('Special Help Table'!$A872,"and ",""))=0),MID('Special Help Table'!$A872&amp;" "&amp;'Special Help Table'!$A872,SEARCH(", ",'Special Help Table'!$A872)+1,LEN('Special Help Table'!$A872)),AND(LEN('Special Help Table'!$A872)-(LEN(SUBSTITUTE('Special Help Table'!$A872,";","")))=1,LEN('Special Help Table'!$A872)-LEN(SUBSTITUTE('Special Help Table'!$A872,"and ",""))=0),MID('Special Help Table'!$A872,SEARCH(",",'Special Help Table'!$A872)+1,(SEARCH(";",'Special Help Table'!$A872)-1)-SEARCH(",",'Special Help Table'!$A872))&amp;" "&amp;LEFT('Special Help Table'!$A872,SEARCH(",",'Special Help Table'!$A872)-1)&amp;";"&amp;RIGHT('Special Help Table'!$A872,LEN('Special Help Table'!$A872)-SEARCH(",",'Special Help Table'!$A872,SEARCH(";",'Special Help Table'!$A872)))&amp;" "&amp;MID('Special Help Table'!$A872,SEARCH("; ",'Special Help Table'!$A872)+2,SEARCH(",",'Special Help Table'!$A872,SEARCH(";",'Special Help Table'!$A872))-SEARCH(";",'Special Help Table'!$A872)-2),AND(LEN('Special Help Table'!$A872)-LEN(SUBSTITUTE('Special Help Table'!$A872,"and ",""))=0,LEN('Special Help Table'!$A872)-LEN(SUBSTITUTE('Special Help Table'!$A872,";",""))=0),'Special Help Table'!$A872,AND(LEN('Special Help Table'!$A872)-LEN(SUBSTITUTE('Special Help Table'!$A872,",","")=1),LEN('Special Help Table'!$A872)-LEN(SUBSTITUTE('Special Help Table'!$A872," ","")=20),LEN('Special Help Table'!$A872)-LEN(SUBSTITUTE('Special Help Table'!$A872," and",""))=0,LEN('Special Help Table'!$A872)-LEN(SUBSTITUTE('Special Help Table'!$A872,",","",FIND(" ",'Special Help Table'!$A872)+1))=0),RIGHT('Special Help Table'!$A872,LEN('Special Help Table'!$A872)-FIND(", ",'Special Help Table'!$A872))&amp;" "&amp;LEFT('Special Help Table'!$A872,FIND(",",'Special Help Table'!$A872)-1),AND(LEN('Special Help Table'!$A872)-LEN(SUBSTITUTE('Special Help Table'!$A872,"editor",""))=6,LEN('Special Help Table'!$A872)-LEN(SUBSTITUTE('Special Help Table'!$A872,"(",""))=0,LEN('Special Help Table'!$A872)-LEN(SUBSTITUTE('Special Help Table'!$A872,"and",""))=3,LEN('Special Help Table'!$A872)-LEN(SUBSTITUTE('Special Help Table'!$A872,",",""))=1,LEN('Special Help Table'!$A872)-LEN(SUBSTITUTE('Special Help Table'!$A872," ",""))=3),'Special Help Table'!$A872)</f>
        <v>0</v>
      </c>
      <c r="C872" s="4" t="s">
        <v>1566</v>
      </c>
      <c r="D872" s="2"/>
      <c r="E872" s="2" t="s">
        <v>1491</v>
      </c>
      <c r="F872" s="2"/>
      <c r="G872" s="2"/>
      <c r="H872" s="2"/>
      <c r="I872" s="2"/>
      <c r="J872" s="2"/>
      <c r="K872" s="3"/>
      <c r="L872" s="2"/>
      <c r="M872" s="2"/>
      <c r="N872" s="2" t="s">
        <v>1494</v>
      </c>
    </row>
    <row r="873" spans="1:14" ht="15.75" customHeight="1" x14ac:dyDescent="0.35">
      <c r="A873" s="2"/>
      <c r="B873" s="2" cm="1">
        <f t="array" ref="B873">_xlfn.IFS(AND(LEN('Special Help Table'!$A873)-(LEN(SUBSTITUTE('Special Help Table'!$A873,";","")))=0,LEN('Special Help Table'!$A873)-LEN(SUBSTITUTE('Special Help Table'!$A873,",",""))=1,LEN('Special Help Table'!$A873)-LEN(SUBSTITUTE('Special Help Table'!$A873,"and ",""))=0),MID('Special Help Table'!$A873&amp;" "&amp;'Special Help Table'!$A873,SEARCH(", ",'Special Help Table'!$A873)+1,LEN('Special Help Table'!$A873)),AND(LEN('Special Help Table'!$A873)-(LEN(SUBSTITUTE('Special Help Table'!$A873,";","")))=1,LEN('Special Help Table'!$A873)-LEN(SUBSTITUTE('Special Help Table'!$A873,"and ",""))=0),MID('Special Help Table'!$A873,SEARCH(",",'Special Help Table'!$A873)+1,(SEARCH(";",'Special Help Table'!$A873)-1)-SEARCH(",",'Special Help Table'!$A873))&amp;" "&amp;LEFT('Special Help Table'!$A873,SEARCH(",",'Special Help Table'!$A873)-1)&amp;";"&amp;RIGHT('Special Help Table'!$A873,LEN('Special Help Table'!$A873)-SEARCH(",",'Special Help Table'!$A873,SEARCH(";",'Special Help Table'!$A873)))&amp;" "&amp;MID('Special Help Table'!$A873,SEARCH("; ",'Special Help Table'!$A873)+2,SEARCH(",",'Special Help Table'!$A873,SEARCH(";",'Special Help Table'!$A873))-SEARCH(";",'Special Help Table'!$A873)-2),AND(LEN('Special Help Table'!$A873)-LEN(SUBSTITUTE('Special Help Table'!$A873,"and ",""))=0,LEN('Special Help Table'!$A873)-LEN(SUBSTITUTE('Special Help Table'!$A873,";",""))=0),'Special Help Table'!$A873,AND(LEN('Special Help Table'!$A873)-LEN(SUBSTITUTE('Special Help Table'!$A873,",","")=1),LEN('Special Help Table'!$A873)-LEN(SUBSTITUTE('Special Help Table'!$A873," ","")=20),LEN('Special Help Table'!$A873)-LEN(SUBSTITUTE('Special Help Table'!$A873," and",""))=0,LEN('Special Help Table'!$A873)-LEN(SUBSTITUTE('Special Help Table'!$A873,",","",FIND(" ",'Special Help Table'!$A873)+1))=0),RIGHT('Special Help Table'!$A873,LEN('Special Help Table'!$A873)-FIND(", ",'Special Help Table'!$A873))&amp;" "&amp;LEFT('Special Help Table'!$A873,FIND(",",'Special Help Table'!$A873)-1),AND(LEN('Special Help Table'!$A873)-LEN(SUBSTITUTE('Special Help Table'!$A873,"editor",""))=6,LEN('Special Help Table'!$A873)-LEN(SUBSTITUTE('Special Help Table'!$A873,"(",""))=0,LEN('Special Help Table'!$A873)-LEN(SUBSTITUTE('Special Help Table'!$A873,"and",""))=3,LEN('Special Help Table'!$A873)-LEN(SUBSTITUTE('Special Help Table'!$A873,",",""))=1,LEN('Special Help Table'!$A873)-LEN(SUBSTITUTE('Special Help Table'!$A873," ",""))=3),'Special Help Table'!$A873)</f>
        <v>0</v>
      </c>
      <c r="C873" s="4" t="s">
        <v>1567</v>
      </c>
      <c r="D873" s="2"/>
      <c r="E873" s="2" t="s">
        <v>1491</v>
      </c>
      <c r="F873" s="2"/>
      <c r="G873" s="2"/>
      <c r="H873" s="2"/>
      <c r="I873" s="2"/>
      <c r="J873" s="2"/>
      <c r="K873" s="3">
        <v>44578</v>
      </c>
      <c r="L873" s="2"/>
      <c r="M873" s="2"/>
      <c r="N873" s="2" t="s">
        <v>1494</v>
      </c>
    </row>
    <row r="874" spans="1:14" ht="15.75" customHeight="1" x14ac:dyDescent="0.35">
      <c r="A874" s="2"/>
      <c r="B874" s="2" cm="1">
        <f t="array" ref="B874">_xlfn.IFS(AND(LEN('Special Help Table'!$A874)-(LEN(SUBSTITUTE('Special Help Table'!$A874,";","")))=0,LEN('Special Help Table'!$A874)-LEN(SUBSTITUTE('Special Help Table'!$A874,",",""))=1,LEN('Special Help Table'!$A874)-LEN(SUBSTITUTE('Special Help Table'!$A874,"and ",""))=0),MID('Special Help Table'!$A874&amp;" "&amp;'Special Help Table'!$A874,SEARCH(", ",'Special Help Table'!$A874)+1,LEN('Special Help Table'!$A874)),AND(LEN('Special Help Table'!$A874)-(LEN(SUBSTITUTE('Special Help Table'!$A874,";","")))=1,LEN('Special Help Table'!$A874)-LEN(SUBSTITUTE('Special Help Table'!$A874,"and ",""))=0),MID('Special Help Table'!$A874,SEARCH(",",'Special Help Table'!$A874)+1,(SEARCH(";",'Special Help Table'!$A874)-1)-SEARCH(",",'Special Help Table'!$A874))&amp;" "&amp;LEFT('Special Help Table'!$A874,SEARCH(",",'Special Help Table'!$A874)-1)&amp;";"&amp;RIGHT('Special Help Table'!$A874,LEN('Special Help Table'!$A874)-SEARCH(",",'Special Help Table'!$A874,SEARCH(";",'Special Help Table'!$A874)))&amp;" "&amp;MID('Special Help Table'!$A874,SEARCH("; ",'Special Help Table'!$A874)+2,SEARCH(",",'Special Help Table'!$A874,SEARCH(";",'Special Help Table'!$A874))-SEARCH(";",'Special Help Table'!$A874)-2),AND(LEN('Special Help Table'!$A874)-LEN(SUBSTITUTE('Special Help Table'!$A874,"and ",""))=0,LEN('Special Help Table'!$A874)-LEN(SUBSTITUTE('Special Help Table'!$A874,";",""))=0),'Special Help Table'!$A874,AND(LEN('Special Help Table'!$A874)-LEN(SUBSTITUTE('Special Help Table'!$A874,",","")=1),LEN('Special Help Table'!$A874)-LEN(SUBSTITUTE('Special Help Table'!$A874," ","")=20),LEN('Special Help Table'!$A874)-LEN(SUBSTITUTE('Special Help Table'!$A874," and",""))=0,LEN('Special Help Table'!$A874)-LEN(SUBSTITUTE('Special Help Table'!$A874,",","",FIND(" ",'Special Help Table'!$A874)+1))=0),RIGHT('Special Help Table'!$A874,LEN('Special Help Table'!$A874)-FIND(", ",'Special Help Table'!$A874))&amp;" "&amp;LEFT('Special Help Table'!$A874,FIND(",",'Special Help Table'!$A874)-1),AND(LEN('Special Help Table'!$A874)-LEN(SUBSTITUTE('Special Help Table'!$A874,"editor",""))=6,LEN('Special Help Table'!$A874)-LEN(SUBSTITUTE('Special Help Table'!$A874,"(",""))=0,LEN('Special Help Table'!$A874)-LEN(SUBSTITUTE('Special Help Table'!$A874,"and",""))=3,LEN('Special Help Table'!$A874)-LEN(SUBSTITUTE('Special Help Table'!$A874,",",""))=1,LEN('Special Help Table'!$A874)-LEN(SUBSTITUTE('Special Help Table'!$A874," ",""))=3),'Special Help Table'!$A874)</f>
        <v>0</v>
      </c>
      <c r="C874" s="4" t="s">
        <v>1568</v>
      </c>
      <c r="D874" s="2"/>
      <c r="E874" s="2" t="s">
        <v>1491</v>
      </c>
      <c r="F874" s="2"/>
      <c r="G874" s="2"/>
      <c r="H874" s="2"/>
      <c r="I874" s="2"/>
      <c r="J874" s="2"/>
      <c r="K874" s="3"/>
      <c r="L874" s="2"/>
      <c r="M874" s="2" t="s">
        <v>1569</v>
      </c>
      <c r="N874" s="2" t="s">
        <v>1494</v>
      </c>
    </row>
    <row r="875" spans="1:14" ht="15.75" customHeight="1" x14ac:dyDescent="0.35">
      <c r="A875" s="2"/>
      <c r="B875" s="2" cm="1">
        <f t="array" ref="B875">_xlfn.IFS(AND(LEN('Special Help Table'!$A875)-(LEN(SUBSTITUTE('Special Help Table'!$A875,";","")))=0,LEN('Special Help Table'!$A875)-LEN(SUBSTITUTE('Special Help Table'!$A875,",",""))=1,LEN('Special Help Table'!$A875)-LEN(SUBSTITUTE('Special Help Table'!$A875,"and ",""))=0),MID('Special Help Table'!$A875&amp;" "&amp;'Special Help Table'!$A875,SEARCH(", ",'Special Help Table'!$A875)+1,LEN('Special Help Table'!$A875)),AND(LEN('Special Help Table'!$A875)-(LEN(SUBSTITUTE('Special Help Table'!$A875,";","")))=1,LEN('Special Help Table'!$A875)-LEN(SUBSTITUTE('Special Help Table'!$A875,"and ",""))=0),MID('Special Help Table'!$A875,SEARCH(",",'Special Help Table'!$A875)+1,(SEARCH(";",'Special Help Table'!$A875)-1)-SEARCH(",",'Special Help Table'!$A875))&amp;" "&amp;LEFT('Special Help Table'!$A875,SEARCH(",",'Special Help Table'!$A875)-1)&amp;";"&amp;RIGHT('Special Help Table'!$A875,LEN('Special Help Table'!$A875)-SEARCH(",",'Special Help Table'!$A875,SEARCH(";",'Special Help Table'!$A875)))&amp;" "&amp;MID('Special Help Table'!$A875,SEARCH("; ",'Special Help Table'!$A875)+2,SEARCH(",",'Special Help Table'!$A875,SEARCH(";",'Special Help Table'!$A875))-SEARCH(";",'Special Help Table'!$A875)-2),AND(LEN('Special Help Table'!$A875)-LEN(SUBSTITUTE('Special Help Table'!$A875,"and ",""))=0,LEN('Special Help Table'!$A875)-LEN(SUBSTITUTE('Special Help Table'!$A875,";",""))=0),'Special Help Table'!$A875,AND(LEN('Special Help Table'!$A875)-LEN(SUBSTITUTE('Special Help Table'!$A875,",","")=1),LEN('Special Help Table'!$A875)-LEN(SUBSTITUTE('Special Help Table'!$A875," ","")=20),LEN('Special Help Table'!$A875)-LEN(SUBSTITUTE('Special Help Table'!$A875," and",""))=0,LEN('Special Help Table'!$A875)-LEN(SUBSTITUTE('Special Help Table'!$A875,",","",FIND(" ",'Special Help Table'!$A875)+1))=0),RIGHT('Special Help Table'!$A875,LEN('Special Help Table'!$A875)-FIND(", ",'Special Help Table'!$A875))&amp;" "&amp;LEFT('Special Help Table'!$A875,FIND(",",'Special Help Table'!$A875)-1),AND(LEN('Special Help Table'!$A875)-LEN(SUBSTITUTE('Special Help Table'!$A875,"editor",""))=6,LEN('Special Help Table'!$A875)-LEN(SUBSTITUTE('Special Help Table'!$A875,"(",""))=0,LEN('Special Help Table'!$A875)-LEN(SUBSTITUTE('Special Help Table'!$A875,"and",""))=3,LEN('Special Help Table'!$A875)-LEN(SUBSTITUTE('Special Help Table'!$A875,",",""))=1,LEN('Special Help Table'!$A875)-LEN(SUBSTITUTE('Special Help Table'!$A875," ",""))=3),'Special Help Table'!$A875)</f>
        <v>0</v>
      </c>
      <c r="C875" s="4" t="s">
        <v>1090</v>
      </c>
      <c r="D875" s="2"/>
      <c r="E875" s="2" t="s">
        <v>1491</v>
      </c>
      <c r="F875" s="2"/>
      <c r="G875" s="2"/>
      <c r="H875" s="2"/>
      <c r="I875" s="2"/>
      <c r="J875" s="2"/>
      <c r="K875" s="3"/>
      <c r="L875" s="2"/>
      <c r="M875" s="2" t="s">
        <v>1088</v>
      </c>
      <c r="N875" s="2" t="s">
        <v>1494</v>
      </c>
    </row>
    <row r="876" spans="1:14" ht="15.75" customHeight="1" x14ac:dyDescent="0.35">
      <c r="A876" s="2"/>
      <c r="B876" s="2" cm="1">
        <f t="array" ref="B876">_xlfn.IFS(AND(LEN('Special Help Table'!$A876)-(LEN(SUBSTITUTE('Special Help Table'!$A876,";","")))=0,LEN('Special Help Table'!$A876)-LEN(SUBSTITUTE('Special Help Table'!$A876,",",""))=1,LEN('Special Help Table'!$A876)-LEN(SUBSTITUTE('Special Help Table'!$A876,"and ",""))=0),MID('Special Help Table'!$A876&amp;" "&amp;'Special Help Table'!$A876,SEARCH(", ",'Special Help Table'!$A876)+1,LEN('Special Help Table'!$A876)),AND(LEN('Special Help Table'!$A876)-(LEN(SUBSTITUTE('Special Help Table'!$A876,";","")))=1,LEN('Special Help Table'!$A876)-LEN(SUBSTITUTE('Special Help Table'!$A876,"and ",""))=0),MID('Special Help Table'!$A876,SEARCH(",",'Special Help Table'!$A876)+1,(SEARCH(";",'Special Help Table'!$A876)-1)-SEARCH(",",'Special Help Table'!$A876))&amp;" "&amp;LEFT('Special Help Table'!$A876,SEARCH(",",'Special Help Table'!$A876)-1)&amp;";"&amp;RIGHT('Special Help Table'!$A876,LEN('Special Help Table'!$A876)-SEARCH(",",'Special Help Table'!$A876,SEARCH(";",'Special Help Table'!$A876)))&amp;" "&amp;MID('Special Help Table'!$A876,SEARCH("; ",'Special Help Table'!$A876)+2,SEARCH(",",'Special Help Table'!$A876,SEARCH(";",'Special Help Table'!$A876))-SEARCH(";",'Special Help Table'!$A876)-2),AND(LEN('Special Help Table'!$A876)-LEN(SUBSTITUTE('Special Help Table'!$A876,"and ",""))=0,LEN('Special Help Table'!$A876)-LEN(SUBSTITUTE('Special Help Table'!$A876,";",""))=0),'Special Help Table'!$A876,AND(LEN('Special Help Table'!$A876)-LEN(SUBSTITUTE('Special Help Table'!$A876,",","")=1),LEN('Special Help Table'!$A876)-LEN(SUBSTITUTE('Special Help Table'!$A876," ","")=20),LEN('Special Help Table'!$A876)-LEN(SUBSTITUTE('Special Help Table'!$A876," and",""))=0,LEN('Special Help Table'!$A876)-LEN(SUBSTITUTE('Special Help Table'!$A876,",","",FIND(" ",'Special Help Table'!$A876)+1))=0),RIGHT('Special Help Table'!$A876,LEN('Special Help Table'!$A876)-FIND(", ",'Special Help Table'!$A876))&amp;" "&amp;LEFT('Special Help Table'!$A876,FIND(",",'Special Help Table'!$A876)-1),AND(LEN('Special Help Table'!$A876)-LEN(SUBSTITUTE('Special Help Table'!$A876,"editor",""))=6,LEN('Special Help Table'!$A876)-LEN(SUBSTITUTE('Special Help Table'!$A876,"(",""))=0,LEN('Special Help Table'!$A876)-LEN(SUBSTITUTE('Special Help Table'!$A876,"and",""))=3,LEN('Special Help Table'!$A876)-LEN(SUBSTITUTE('Special Help Table'!$A876,",",""))=1,LEN('Special Help Table'!$A876)-LEN(SUBSTITUTE('Special Help Table'!$A876," ",""))=3),'Special Help Table'!$A876)</f>
        <v>0</v>
      </c>
      <c r="C876" s="4" t="s">
        <v>1091</v>
      </c>
      <c r="D876" s="2"/>
      <c r="E876" s="2" t="s">
        <v>1491</v>
      </c>
      <c r="F876" s="2"/>
      <c r="G876" s="2"/>
      <c r="H876" s="2"/>
      <c r="I876" s="2"/>
      <c r="J876" s="2"/>
      <c r="K876" s="3">
        <v>40026</v>
      </c>
      <c r="L876" s="2"/>
      <c r="M876" s="2" t="s">
        <v>1088</v>
      </c>
      <c r="N876" s="2" t="s">
        <v>1494</v>
      </c>
    </row>
    <row r="877" spans="1:14" ht="15.75" customHeight="1" x14ac:dyDescent="0.35">
      <c r="A877" s="2"/>
      <c r="B877" s="2" cm="1">
        <f t="array" ref="B877">_xlfn.IFS(AND(LEN('Special Help Table'!$A877)-(LEN(SUBSTITUTE('Special Help Table'!$A877,";","")))=0,LEN('Special Help Table'!$A877)-LEN(SUBSTITUTE('Special Help Table'!$A877,",",""))=1,LEN('Special Help Table'!$A877)-LEN(SUBSTITUTE('Special Help Table'!$A877,"and ",""))=0),MID('Special Help Table'!$A877&amp;" "&amp;'Special Help Table'!$A877,SEARCH(", ",'Special Help Table'!$A877)+1,LEN('Special Help Table'!$A877)),AND(LEN('Special Help Table'!$A877)-(LEN(SUBSTITUTE('Special Help Table'!$A877,";","")))=1,LEN('Special Help Table'!$A877)-LEN(SUBSTITUTE('Special Help Table'!$A877,"and ",""))=0),MID('Special Help Table'!$A877,SEARCH(",",'Special Help Table'!$A877)+1,(SEARCH(";",'Special Help Table'!$A877)-1)-SEARCH(",",'Special Help Table'!$A877))&amp;" "&amp;LEFT('Special Help Table'!$A877,SEARCH(",",'Special Help Table'!$A877)-1)&amp;";"&amp;RIGHT('Special Help Table'!$A877,LEN('Special Help Table'!$A877)-SEARCH(",",'Special Help Table'!$A877,SEARCH(";",'Special Help Table'!$A877)))&amp;" "&amp;MID('Special Help Table'!$A877,SEARCH("; ",'Special Help Table'!$A877)+2,SEARCH(",",'Special Help Table'!$A877,SEARCH(";",'Special Help Table'!$A877))-SEARCH(";",'Special Help Table'!$A877)-2),AND(LEN('Special Help Table'!$A877)-LEN(SUBSTITUTE('Special Help Table'!$A877,"and ",""))=0,LEN('Special Help Table'!$A877)-LEN(SUBSTITUTE('Special Help Table'!$A877,";",""))=0),'Special Help Table'!$A877,AND(LEN('Special Help Table'!$A877)-LEN(SUBSTITUTE('Special Help Table'!$A877,",","")=1),LEN('Special Help Table'!$A877)-LEN(SUBSTITUTE('Special Help Table'!$A877," ","")=20),LEN('Special Help Table'!$A877)-LEN(SUBSTITUTE('Special Help Table'!$A877," and",""))=0,LEN('Special Help Table'!$A877)-LEN(SUBSTITUTE('Special Help Table'!$A877,",","",FIND(" ",'Special Help Table'!$A877)+1))=0),RIGHT('Special Help Table'!$A877,LEN('Special Help Table'!$A877)-FIND(", ",'Special Help Table'!$A877))&amp;" "&amp;LEFT('Special Help Table'!$A877,FIND(",",'Special Help Table'!$A877)-1),AND(LEN('Special Help Table'!$A877)-LEN(SUBSTITUTE('Special Help Table'!$A877,"editor",""))=6,LEN('Special Help Table'!$A877)-LEN(SUBSTITUTE('Special Help Table'!$A877,"(",""))=0,LEN('Special Help Table'!$A877)-LEN(SUBSTITUTE('Special Help Table'!$A877,"and",""))=3,LEN('Special Help Table'!$A877)-LEN(SUBSTITUTE('Special Help Table'!$A877,",",""))=1,LEN('Special Help Table'!$A877)-LEN(SUBSTITUTE('Special Help Table'!$A877," ",""))=3),'Special Help Table'!$A877)</f>
        <v>0</v>
      </c>
      <c r="C877" s="4" t="s">
        <v>1570</v>
      </c>
      <c r="D877" s="2"/>
      <c r="E877" s="2" t="s">
        <v>1491</v>
      </c>
      <c r="F877" s="2"/>
      <c r="G877" s="2"/>
      <c r="H877" s="2"/>
      <c r="I877" s="2"/>
      <c r="J877" s="2"/>
      <c r="K877" s="3">
        <v>41133</v>
      </c>
      <c r="L877" s="2"/>
      <c r="M877" s="2" t="s">
        <v>1571</v>
      </c>
      <c r="N877" s="2" t="s">
        <v>1494</v>
      </c>
    </row>
    <row r="878" spans="1:14" ht="15.75" customHeight="1" x14ac:dyDescent="0.35">
      <c r="A878" s="2"/>
      <c r="B878" s="2" cm="1">
        <f t="array" ref="B878">_xlfn.IFS(AND(LEN('Special Help Table'!$A878)-(LEN(SUBSTITUTE('Special Help Table'!$A878,";","")))=0,LEN('Special Help Table'!$A878)-LEN(SUBSTITUTE('Special Help Table'!$A878,",",""))=1,LEN('Special Help Table'!$A878)-LEN(SUBSTITUTE('Special Help Table'!$A878,"and ",""))=0),MID('Special Help Table'!$A878&amp;" "&amp;'Special Help Table'!$A878,SEARCH(", ",'Special Help Table'!$A878)+1,LEN('Special Help Table'!$A878)),AND(LEN('Special Help Table'!$A878)-(LEN(SUBSTITUTE('Special Help Table'!$A878,";","")))=1,LEN('Special Help Table'!$A878)-LEN(SUBSTITUTE('Special Help Table'!$A878,"and ",""))=0),MID('Special Help Table'!$A878,SEARCH(",",'Special Help Table'!$A878)+1,(SEARCH(";",'Special Help Table'!$A878)-1)-SEARCH(",",'Special Help Table'!$A878))&amp;" "&amp;LEFT('Special Help Table'!$A878,SEARCH(",",'Special Help Table'!$A878)-1)&amp;";"&amp;RIGHT('Special Help Table'!$A878,LEN('Special Help Table'!$A878)-SEARCH(",",'Special Help Table'!$A878,SEARCH(";",'Special Help Table'!$A878)))&amp;" "&amp;MID('Special Help Table'!$A878,SEARCH("; ",'Special Help Table'!$A878)+2,SEARCH(",",'Special Help Table'!$A878,SEARCH(";",'Special Help Table'!$A878))-SEARCH(";",'Special Help Table'!$A878)-2),AND(LEN('Special Help Table'!$A878)-LEN(SUBSTITUTE('Special Help Table'!$A878,"and ",""))=0,LEN('Special Help Table'!$A878)-LEN(SUBSTITUTE('Special Help Table'!$A878,";",""))=0),'Special Help Table'!$A878,AND(LEN('Special Help Table'!$A878)-LEN(SUBSTITUTE('Special Help Table'!$A878,",","")=1),LEN('Special Help Table'!$A878)-LEN(SUBSTITUTE('Special Help Table'!$A878," ","")=20),LEN('Special Help Table'!$A878)-LEN(SUBSTITUTE('Special Help Table'!$A878," and",""))=0,LEN('Special Help Table'!$A878)-LEN(SUBSTITUTE('Special Help Table'!$A878,",","",FIND(" ",'Special Help Table'!$A878)+1))=0),RIGHT('Special Help Table'!$A878,LEN('Special Help Table'!$A878)-FIND(", ",'Special Help Table'!$A878))&amp;" "&amp;LEFT('Special Help Table'!$A878,FIND(",",'Special Help Table'!$A878)-1),AND(LEN('Special Help Table'!$A878)-LEN(SUBSTITUTE('Special Help Table'!$A878,"editor",""))=6,LEN('Special Help Table'!$A878)-LEN(SUBSTITUTE('Special Help Table'!$A878,"(",""))=0,LEN('Special Help Table'!$A878)-LEN(SUBSTITUTE('Special Help Table'!$A878,"and",""))=3,LEN('Special Help Table'!$A878)-LEN(SUBSTITUTE('Special Help Table'!$A878,",",""))=1,LEN('Special Help Table'!$A878)-LEN(SUBSTITUTE('Special Help Table'!$A878," ",""))=3),'Special Help Table'!$A878)</f>
        <v>0</v>
      </c>
      <c r="C878" s="4" t="s">
        <v>1572</v>
      </c>
      <c r="D878" s="2"/>
      <c r="E878" s="2" t="s">
        <v>1491</v>
      </c>
      <c r="F878" s="2"/>
      <c r="G878" s="2"/>
      <c r="H878" s="2"/>
      <c r="I878" s="2"/>
      <c r="J878" s="2"/>
      <c r="K878" s="3">
        <v>40827</v>
      </c>
      <c r="L878" s="2" t="s">
        <v>856</v>
      </c>
      <c r="M878" s="2" t="s">
        <v>1571</v>
      </c>
      <c r="N878" s="2" t="s">
        <v>1494</v>
      </c>
    </row>
    <row r="879" spans="1:14" ht="15.75" customHeight="1" x14ac:dyDescent="0.35">
      <c r="A879" s="2"/>
      <c r="B879" s="2" cm="1">
        <f t="array" ref="B879">_xlfn.IFS(AND(LEN('Special Help Table'!$A879)-(LEN(SUBSTITUTE('Special Help Table'!$A879,";","")))=0,LEN('Special Help Table'!$A879)-LEN(SUBSTITUTE('Special Help Table'!$A879,",",""))=1,LEN('Special Help Table'!$A879)-LEN(SUBSTITUTE('Special Help Table'!$A879,"and ",""))=0),MID('Special Help Table'!$A879&amp;" "&amp;'Special Help Table'!$A879,SEARCH(", ",'Special Help Table'!$A879)+1,LEN('Special Help Table'!$A879)),AND(LEN('Special Help Table'!$A879)-(LEN(SUBSTITUTE('Special Help Table'!$A879,";","")))=1,LEN('Special Help Table'!$A879)-LEN(SUBSTITUTE('Special Help Table'!$A879,"and ",""))=0),MID('Special Help Table'!$A879,SEARCH(",",'Special Help Table'!$A879)+1,(SEARCH(";",'Special Help Table'!$A879)-1)-SEARCH(",",'Special Help Table'!$A879))&amp;" "&amp;LEFT('Special Help Table'!$A879,SEARCH(",",'Special Help Table'!$A879)-1)&amp;";"&amp;RIGHT('Special Help Table'!$A879,LEN('Special Help Table'!$A879)-SEARCH(",",'Special Help Table'!$A879,SEARCH(";",'Special Help Table'!$A879)))&amp;" "&amp;MID('Special Help Table'!$A879,SEARCH("; ",'Special Help Table'!$A879)+2,SEARCH(",",'Special Help Table'!$A879,SEARCH(";",'Special Help Table'!$A879))-SEARCH(";",'Special Help Table'!$A879)-2),AND(LEN('Special Help Table'!$A879)-LEN(SUBSTITUTE('Special Help Table'!$A879,"and ",""))=0,LEN('Special Help Table'!$A879)-LEN(SUBSTITUTE('Special Help Table'!$A879,";",""))=0),'Special Help Table'!$A879,AND(LEN('Special Help Table'!$A879)-LEN(SUBSTITUTE('Special Help Table'!$A879,",","")=1),LEN('Special Help Table'!$A879)-LEN(SUBSTITUTE('Special Help Table'!$A879," ","")=20),LEN('Special Help Table'!$A879)-LEN(SUBSTITUTE('Special Help Table'!$A879," and",""))=0,LEN('Special Help Table'!$A879)-LEN(SUBSTITUTE('Special Help Table'!$A879,",","",FIND(" ",'Special Help Table'!$A879)+1))=0),RIGHT('Special Help Table'!$A879,LEN('Special Help Table'!$A879)-FIND(", ",'Special Help Table'!$A879))&amp;" "&amp;LEFT('Special Help Table'!$A879,FIND(",",'Special Help Table'!$A879)-1),AND(LEN('Special Help Table'!$A879)-LEN(SUBSTITUTE('Special Help Table'!$A879,"editor",""))=6,LEN('Special Help Table'!$A879)-LEN(SUBSTITUTE('Special Help Table'!$A879,"(",""))=0,LEN('Special Help Table'!$A879)-LEN(SUBSTITUTE('Special Help Table'!$A879,"and",""))=3,LEN('Special Help Table'!$A879)-LEN(SUBSTITUTE('Special Help Table'!$A879,",",""))=1,LEN('Special Help Table'!$A879)-LEN(SUBSTITUTE('Special Help Table'!$A879," ",""))=3),'Special Help Table'!$A879)</f>
        <v>0</v>
      </c>
      <c r="C879" s="4" t="s">
        <v>1573</v>
      </c>
      <c r="D879" s="2"/>
      <c r="E879" s="2" t="s">
        <v>1491</v>
      </c>
      <c r="F879" s="2"/>
      <c r="G879" s="2"/>
      <c r="H879" s="2"/>
      <c r="I879" s="2"/>
      <c r="J879" s="2"/>
      <c r="K879" s="3">
        <v>41133</v>
      </c>
      <c r="L879" s="2"/>
      <c r="M879" s="2" t="s">
        <v>1571</v>
      </c>
      <c r="N879" s="2" t="s">
        <v>1494</v>
      </c>
    </row>
    <row r="880" spans="1:14" ht="15.75" customHeight="1" x14ac:dyDescent="0.35">
      <c r="A880" s="2"/>
      <c r="B880" s="2" cm="1">
        <f t="array" ref="B880">_xlfn.IFS(AND(LEN('Special Help Table'!$A880)-(LEN(SUBSTITUTE('Special Help Table'!$A880,";","")))=0,LEN('Special Help Table'!$A880)-LEN(SUBSTITUTE('Special Help Table'!$A880,",",""))=1,LEN('Special Help Table'!$A880)-LEN(SUBSTITUTE('Special Help Table'!$A880,"and ",""))=0),MID('Special Help Table'!$A880&amp;" "&amp;'Special Help Table'!$A880,SEARCH(", ",'Special Help Table'!$A880)+1,LEN('Special Help Table'!$A880)),AND(LEN('Special Help Table'!$A880)-(LEN(SUBSTITUTE('Special Help Table'!$A880,";","")))=1,LEN('Special Help Table'!$A880)-LEN(SUBSTITUTE('Special Help Table'!$A880,"and ",""))=0),MID('Special Help Table'!$A880,SEARCH(",",'Special Help Table'!$A880)+1,(SEARCH(";",'Special Help Table'!$A880)-1)-SEARCH(",",'Special Help Table'!$A880))&amp;" "&amp;LEFT('Special Help Table'!$A880,SEARCH(",",'Special Help Table'!$A880)-1)&amp;";"&amp;RIGHT('Special Help Table'!$A880,LEN('Special Help Table'!$A880)-SEARCH(",",'Special Help Table'!$A880,SEARCH(";",'Special Help Table'!$A880)))&amp;" "&amp;MID('Special Help Table'!$A880,SEARCH("; ",'Special Help Table'!$A880)+2,SEARCH(",",'Special Help Table'!$A880,SEARCH(";",'Special Help Table'!$A880))-SEARCH(";",'Special Help Table'!$A880)-2),AND(LEN('Special Help Table'!$A880)-LEN(SUBSTITUTE('Special Help Table'!$A880,"and ",""))=0,LEN('Special Help Table'!$A880)-LEN(SUBSTITUTE('Special Help Table'!$A880,";",""))=0),'Special Help Table'!$A880,AND(LEN('Special Help Table'!$A880)-LEN(SUBSTITUTE('Special Help Table'!$A880,",","")=1),LEN('Special Help Table'!$A880)-LEN(SUBSTITUTE('Special Help Table'!$A880," ","")=20),LEN('Special Help Table'!$A880)-LEN(SUBSTITUTE('Special Help Table'!$A880," and",""))=0,LEN('Special Help Table'!$A880)-LEN(SUBSTITUTE('Special Help Table'!$A880,",","",FIND(" ",'Special Help Table'!$A880)+1))=0),RIGHT('Special Help Table'!$A880,LEN('Special Help Table'!$A880)-FIND(", ",'Special Help Table'!$A880))&amp;" "&amp;LEFT('Special Help Table'!$A880,FIND(",",'Special Help Table'!$A880)-1),AND(LEN('Special Help Table'!$A880)-LEN(SUBSTITUTE('Special Help Table'!$A880,"editor",""))=6,LEN('Special Help Table'!$A880)-LEN(SUBSTITUTE('Special Help Table'!$A880,"(",""))=0,LEN('Special Help Table'!$A880)-LEN(SUBSTITUTE('Special Help Table'!$A880,"and",""))=3,LEN('Special Help Table'!$A880)-LEN(SUBSTITUTE('Special Help Table'!$A880,",",""))=1,LEN('Special Help Table'!$A880)-LEN(SUBSTITUTE('Special Help Table'!$A880," ",""))=3),'Special Help Table'!$A880)</f>
        <v>0</v>
      </c>
      <c r="C880" s="4" t="s">
        <v>1574</v>
      </c>
      <c r="D880" s="2"/>
      <c r="E880" s="2" t="s">
        <v>1491</v>
      </c>
      <c r="F880" s="2"/>
      <c r="G880" s="2"/>
      <c r="H880" s="2"/>
      <c r="I880" s="2"/>
      <c r="J880" s="2"/>
      <c r="K880" s="3">
        <v>41133</v>
      </c>
      <c r="L880" s="2"/>
      <c r="M880" s="2" t="s">
        <v>1571</v>
      </c>
      <c r="N880" s="2" t="s">
        <v>1494</v>
      </c>
    </row>
    <row r="881" spans="1:14" ht="15.75" customHeight="1" x14ac:dyDescent="0.35">
      <c r="A881" s="2"/>
      <c r="B881" s="2" cm="1">
        <f t="array" ref="B881">_xlfn.IFS(AND(LEN('Special Help Table'!$A881)-(LEN(SUBSTITUTE('Special Help Table'!$A881,";","")))=0,LEN('Special Help Table'!$A881)-LEN(SUBSTITUTE('Special Help Table'!$A881,",",""))=1,LEN('Special Help Table'!$A881)-LEN(SUBSTITUTE('Special Help Table'!$A881,"and ",""))=0),MID('Special Help Table'!$A881&amp;" "&amp;'Special Help Table'!$A881,SEARCH(", ",'Special Help Table'!$A881)+1,LEN('Special Help Table'!$A881)),AND(LEN('Special Help Table'!$A881)-(LEN(SUBSTITUTE('Special Help Table'!$A881,";","")))=1,LEN('Special Help Table'!$A881)-LEN(SUBSTITUTE('Special Help Table'!$A881,"and ",""))=0),MID('Special Help Table'!$A881,SEARCH(",",'Special Help Table'!$A881)+1,(SEARCH(";",'Special Help Table'!$A881)-1)-SEARCH(",",'Special Help Table'!$A881))&amp;" "&amp;LEFT('Special Help Table'!$A881,SEARCH(",",'Special Help Table'!$A881)-1)&amp;";"&amp;RIGHT('Special Help Table'!$A881,LEN('Special Help Table'!$A881)-SEARCH(",",'Special Help Table'!$A881,SEARCH(";",'Special Help Table'!$A881)))&amp;" "&amp;MID('Special Help Table'!$A881,SEARCH("; ",'Special Help Table'!$A881)+2,SEARCH(",",'Special Help Table'!$A881,SEARCH(";",'Special Help Table'!$A881))-SEARCH(";",'Special Help Table'!$A881)-2),AND(LEN('Special Help Table'!$A881)-LEN(SUBSTITUTE('Special Help Table'!$A881,"and ",""))=0,LEN('Special Help Table'!$A881)-LEN(SUBSTITUTE('Special Help Table'!$A881,";",""))=0),'Special Help Table'!$A881,AND(LEN('Special Help Table'!$A881)-LEN(SUBSTITUTE('Special Help Table'!$A881,",","")=1),LEN('Special Help Table'!$A881)-LEN(SUBSTITUTE('Special Help Table'!$A881," ","")=20),LEN('Special Help Table'!$A881)-LEN(SUBSTITUTE('Special Help Table'!$A881," and",""))=0,LEN('Special Help Table'!$A881)-LEN(SUBSTITUTE('Special Help Table'!$A881,",","",FIND(" ",'Special Help Table'!$A881)+1))=0),RIGHT('Special Help Table'!$A881,LEN('Special Help Table'!$A881)-FIND(", ",'Special Help Table'!$A881))&amp;" "&amp;LEFT('Special Help Table'!$A881,FIND(",",'Special Help Table'!$A881)-1),AND(LEN('Special Help Table'!$A881)-LEN(SUBSTITUTE('Special Help Table'!$A881,"editor",""))=6,LEN('Special Help Table'!$A881)-LEN(SUBSTITUTE('Special Help Table'!$A881,"(",""))=0,LEN('Special Help Table'!$A881)-LEN(SUBSTITUTE('Special Help Table'!$A881,"and",""))=3,LEN('Special Help Table'!$A881)-LEN(SUBSTITUTE('Special Help Table'!$A881,",",""))=1,LEN('Special Help Table'!$A881)-LEN(SUBSTITUTE('Special Help Table'!$A881," ",""))=3),'Special Help Table'!$A881)</f>
        <v>0</v>
      </c>
      <c r="C881" s="4" t="s">
        <v>1575</v>
      </c>
      <c r="D881" s="2"/>
      <c r="E881" s="2" t="s">
        <v>1491</v>
      </c>
      <c r="F881" s="2"/>
      <c r="G881" s="2"/>
      <c r="H881" s="2"/>
      <c r="I881" s="2"/>
      <c r="J881" s="2"/>
      <c r="K881" s="3">
        <v>41133</v>
      </c>
      <c r="L881" s="2"/>
      <c r="M881" s="2" t="s">
        <v>1571</v>
      </c>
      <c r="N881" s="2" t="s">
        <v>1494</v>
      </c>
    </row>
    <row r="882" spans="1:14" ht="15.75" customHeight="1" x14ac:dyDescent="0.35">
      <c r="A882" s="2"/>
      <c r="B882" s="2" cm="1">
        <f t="array" ref="B882">_xlfn.IFS(AND(LEN('Special Help Table'!$A882)-(LEN(SUBSTITUTE('Special Help Table'!$A882,";","")))=0,LEN('Special Help Table'!$A882)-LEN(SUBSTITUTE('Special Help Table'!$A882,",",""))=1,LEN('Special Help Table'!$A882)-LEN(SUBSTITUTE('Special Help Table'!$A882,"and ",""))=0),MID('Special Help Table'!$A882&amp;" "&amp;'Special Help Table'!$A882,SEARCH(", ",'Special Help Table'!$A882)+1,LEN('Special Help Table'!$A882)),AND(LEN('Special Help Table'!$A882)-(LEN(SUBSTITUTE('Special Help Table'!$A882,";","")))=1,LEN('Special Help Table'!$A882)-LEN(SUBSTITUTE('Special Help Table'!$A882,"and ",""))=0),MID('Special Help Table'!$A882,SEARCH(",",'Special Help Table'!$A882)+1,(SEARCH(";",'Special Help Table'!$A882)-1)-SEARCH(",",'Special Help Table'!$A882))&amp;" "&amp;LEFT('Special Help Table'!$A882,SEARCH(",",'Special Help Table'!$A882)-1)&amp;";"&amp;RIGHT('Special Help Table'!$A882,LEN('Special Help Table'!$A882)-SEARCH(",",'Special Help Table'!$A882,SEARCH(";",'Special Help Table'!$A882)))&amp;" "&amp;MID('Special Help Table'!$A882,SEARCH("; ",'Special Help Table'!$A882)+2,SEARCH(",",'Special Help Table'!$A882,SEARCH(";",'Special Help Table'!$A882))-SEARCH(";",'Special Help Table'!$A882)-2),AND(LEN('Special Help Table'!$A882)-LEN(SUBSTITUTE('Special Help Table'!$A882,"and ",""))=0,LEN('Special Help Table'!$A882)-LEN(SUBSTITUTE('Special Help Table'!$A882,";",""))=0),'Special Help Table'!$A882,AND(LEN('Special Help Table'!$A882)-LEN(SUBSTITUTE('Special Help Table'!$A882,",","")=1),LEN('Special Help Table'!$A882)-LEN(SUBSTITUTE('Special Help Table'!$A882," ","")=20),LEN('Special Help Table'!$A882)-LEN(SUBSTITUTE('Special Help Table'!$A882," and",""))=0,LEN('Special Help Table'!$A882)-LEN(SUBSTITUTE('Special Help Table'!$A882,",","",FIND(" ",'Special Help Table'!$A882)+1))=0),RIGHT('Special Help Table'!$A882,LEN('Special Help Table'!$A882)-FIND(", ",'Special Help Table'!$A882))&amp;" "&amp;LEFT('Special Help Table'!$A882,FIND(",",'Special Help Table'!$A882)-1),AND(LEN('Special Help Table'!$A882)-LEN(SUBSTITUTE('Special Help Table'!$A882,"editor",""))=6,LEN('Special Help Table'!$A882)-LEN(SUBSTITUTE('Special Help Table'!$A882,"(",""))=0,LEN('Special Help Table'!$A882)-LEN(SUBSTITUTE('Special Help Table'!$A882,"and",""))=3,LEN('Special Help Table'!$A882)-LEN(SUBSTITUTE('Special Help Table'!$A882,",",""))=1,LEN('Special Help Table'!$A882)-LEN(SUBSTITUTE('Special Help Table'!$A882," ",""))=3),'Special Help Table'!$A882)</f>
        <v>0</v>
      </c>
      <c r="C882" s="4" t="s">
        <v>1576</v>
      </c>
      <c r="D882" s="2"/>
      <c r="E882" s="2" t="s">
        <v>1491</v>
      </c>
      <c r="F882" s="2"/>
      <c r="G882" s="2"/>
      <c r="H882" s="2"/>
      <c r="I882" s="2"/>
      <c r="J882" s="2"/>
      <c r="K882" s="3">
        <v>42675</v>
      </c>
      <c r="L882" s="2"/>
      <c r="M882" s="2" t="s">
        <v>1571</v>
      </c>
      <c r="N882" s="2" t="s">
        <v>1494</v>
      </c>
    </row>
    <row r="883" spans="1:14" ht="15.75" customHeight="1" x14ac:dyDescent="0.35">
      <c r="A883" s="2"/>
      <c r="B883" s="2" cm="1">
        <f t="array" ref="B883">_xlfn.IFS(AND(LEN('Special Help Table'!$A883)-(LEN(SUBSTITUTE('Special Help Table'!$A883,";","")))=0,LEN('Special Help Table'!$A883)-LEN(SUBSTITUTE('Special Help Table'!$A883,",",""))=1,LEN('Special Help Table'!$A883)-LEN(SUBSTITUTE('Special Help Table'!$A883,"and ",""))=0),MID('Special Help Table'!$A883&amp;" "&amp;'Special Help Table'!$A883,SEARCH(", ",'Special Help Table'!$A883)+1,LEN('Special Help Table'!$A883)),AND(LEN('Special Help Table'!$A883)-(LEN(SUBSTITUTE('Special Help Table'!$A883,";","")))=1,LEN('Special Help Table'!$A883)-LEN(SUBSTITUTE('Special Help Table'!$A883,"and ",""))=0),MID('Special Help Table'!$A883,SEARCH(",",'Special Help Table'!$A883)+1,(SEARCH(";",'Special Help Table'!$A883)-1)-SEARCH(",",'Special Help Table'!$A883))&amp;" "&amp;LEFT('Special Help Table'!$A883,SEARCH(",",'Special Help Table'!$A883)-1)&amp;";"&amp;RIGHT('Special Help Table'!$A883,LEN('Special Help Table'!$A883)-SEARCH(",",'Special Help Table'!$A883,SEARCH(";",'Special Help Table'!$A883)))&amp;" "&amp;MID('Special Help Table'!$A883,SEARCH("; ",'Special Help Table'!$A883)+2,SEARCH(",",'Special Help Table'!$A883,SEARCH(";",'Special Help Table'!$A883))-SEARCH(";",'Special Help Table'!$A883)-2),AND(LEN('Special Help Table'!$A883)-LEN(SUBSTITUTE('Special Help Table'!$A883,"and ",""))=0,LEN('Special Help Table'!$A883)-LEN(SUBSTITUTE('Special Help Table'!$A883,";",""))=0),'Special Help Table'!$A883,AND(LEN('Special Help Table'!$A883)-LEN(SUBSTITUTE('Special Help Table'!$A883,",","")=1),LEN('Special Help Table'!$A883)-LEN(SUBSTITUTE('Special Help Table'!$A883," ","")=20),LEN('Special Help Table'!$A883)-LEN(SUBSTITUTE('Special Help Table'!$A883," and",""))=0,LEN('Special Help Table'!$A883)-LEN(SUBSTITUTE('Special Help Table'!$A883,",","",FIND(" ",'Special Help Table'!$A883)+1))=0),RIGHT('Special Help Table'!$A883,LEN('Special Help Table'!$A883)-FIND(", ",'Special Help Table'!$A883))&amp;" "&amp;LEFT('Special Help Table'!$A883,FIND(",",'Special Help Table'!$A883)-1),AND(LEN('Special Help Table'!$A883)-LEN(SUBSTITUTE('Special Help Table'!$A883,"editor",""))=6,LEN('Special Help Table'!$A883)-LEN(SUBSTITUTE('Special Help Table'!$A883,"(",""))=0,LEN('Special Help Table'!$A883)-LEN(SUBSTITUTE('Special Help Table'!$A883,"and",""))=3,LEN('Special Help Table'!$A883)-LEN(SUBSTITUTE('Special Help Table'!$A883,",",""))=1,LEN('Special Help Table'!$A883)-LEN(SUBSTITUTE('Special Help Table'!$A883," ",""))=3),'Special Help Table'!$A883)</f>
        <v>0</v>
      </c>
      <c r="C883" s="4" t="s">
        <v>1577</v>
      </c>
      <c r="D883" s="2"/>
      <c r="E883" s="2" t="s">
        <v>1491</v>
      </c>
      <c r="F883" s="2"/>
      <c r="G883" s="2"/>
      <c r="H883" s="2"/>
      <c r="I883" s="2"/>
      <c r="J883" s="2"/>
      <c r="K883" s="3">
        <v>44578</v>
      </c>
      <c r="L883" s="2"/>
      <c r="M883" s="2" t="s">
        <v>1571</v>
      </c>
      <c r="N883" s="2" t="s">
        <v>1494</v>
      </c>
    </row>
    <row r="884" spans="1:14" ht="15.75" customHeight="1" x14ac:dyDescent="0.35">
      <c r="A884" s="2"/>
      <c r="B884" s="2" cm="1">
        <f t="array" ref="B884">_xlfn.IFS(AND(LEN('Special Help Table'!$A884)-(LEN(SUBSTITUTE('Special Help Table'!$A884,";","")))=0,LEN('Special Help Table'!$A884)-LEN(SUBSTITUTE('Special Help Table'!$A884,",",""))=1,LEN('Special Help Table'!$A884)-LEN(SUBSTITUTE('Special Help Table'!$A884,"and ",""))=0),MID('Special Help Table'!$A884&amp;" "&amp;'Special Help Table'!$A884,SEARCH(", ",'Special Help Table'!$A884)+1,LEN('Special Help Table'!$A884)),AND(LEN('Special Help Table'!$A884)-(LEN(SUBSTITUTE('Special Help Table'!$A884,";","")))=1,LEN('Special Help Table'!$A884)-LEN(SUBSTITUTE('Special Help Table'!$A884,"and ",""))=0),MID('Special Help Table'!$A884,SEARCH(",",'Special Help Table'!$A884)+1,(SEARCH(";",'Special Help Table'!$A884)-1)-SEARCH(",",'Special Help Table'!$A884))&amp;" "&amp;LEFT('Special Help Table'!$A884,SEARCH(",",'Special Help Table'!$A884)-1)&amp;";"&amp;RIGHT('Special Help Table'!$A884,LEN('Special Help Table'!$A884)-SEARCH(",",'Special Help Table'!$A884,SEARCH(";",'Special Help Table'!$A884)))&amp;" "&amp;MID('Special Help Table'!$A884,SEARCH("; ",'Special Help Table'!$A884)+2,SEARCH(",",'Special Help Table'!$A884,SEARCH(";",'Special Help Table'!$A884))-SEARCH(";",'Special Help Table'!$A884)-2),AND(LEN('Special Help Table'!$A884)-LEN(SUBSTITUTE('Special Help Table'!$A884,"and ",""))=0,LEN('Special Help Table'!$A884)-LEN(SUBSTITUTE('Special Help Table'!$A884,";",""))=0),'Special Help Table'!$A884,AND(LEN('Special Help Table'!$A884)-LEN(SUBSTITUTE('Special Help Table'!$A884,",","")=1),LEN('Special Help Table'!$A884)-LEN(SUBSTITUTE('Special Help Table'!$A884," ","")=20),LEN('Special Help Table'!$A884)-LEN(SUBSTITUTE('Special Help Table'!$A884," and",""))=0,LEN('Special Help Table'!$A884)-LEN(SUBSTITUTE('Special Help Table'!$A884,",","",FIND(" ",'Special Help Table'!$A884)+1))=0),RIGHT('Special Help Table'!$A884,LEN('Special Help Table'!$A884)-FIND(", ",'Special Help Table'!$A884))&amp;" "&amp;LEFT('Special Help Table'!$A884,FIND(",",'Special Help Table'!$A884)-1),AND(LEN('Special Help Table'!$A884)-LEN(SUBSTITUTE('Special Help Table'!$A884,"editor",""))=6,LEN('Special Help Table'!$A884)-LEN(SUBSTITUTE('Special Help Table'!$A884,"(",""))=0,LEN('Special Help Table'!$A884)-LEN(SUBSTITUTE('Special Help Table'!$A884,"and",""))=3,LEN('Special Help Table'!$A884)-LEN(SUBSTITUTE('Special Help Table'!$A884,",",""))=1,LEN('Special Help Table'!$A884)-LEN(SUBSTITUTE('Special Help Table'!$A884," ",""))=3),'Special Help Table'!$A884)</f>
        <v>0</v>
      </c>
      <c r="C884" s="4" t="s">
        <v>1578</v>
      </c>
      <c r="D884" s="2"/>
      <c r="E884" s="2" t="s">
        <v>1491</v>
      </c>
      <c r="F884" s="2"/>
      <c r="G884" s="2"/>
      <c r="H884" s="2"/>
      <c r="I884" s="2"/>
      <c r="J884" s="2"/>
      <c r="K884" s="3">
        <v>44578</v>
      </c>
      <c r="L884" s="2"/>
      <c r="M884" s="2" t="s">
        <v>1571</v>
      </c>
      <c r="N884" s="2" t="s">
        <v>1494</v>
      </c>
    </row>
    <row r="885" spans="1:14" ht="15.75" customHeight="1" x14ac:dyDescent="0.35">
      <c r="A885" s="2"/>
      <c r="B885" s="2" cm="1">
        <f t="array" ref="B885">_xlfn.IFS(AND(LEN('Special Help Table'!$A885)-(LEN(SUBSTITUTE('Special Help Table'!$A885,";","")))=0,LEN('Special Help Table'!$A885)-LEN(SUBSTITUTE('Special Help Table'!$A885,",",""))=1,LEN('Special Help Table'!$A885)-LEN(SUBSTITUTE('Special Help Table'!$A885,"and ",""))=0),MID('Special Help Table'!$A885&amp;" "&amp;'Special Help Table'!$A885,SEARCH(", ",'Special Help Table'!$A885)+1,LEN('Special Help Table'!$A885)),AND(LEN('Special Help Table'!$A885)-(LEN(SUBSTITUTE('Special Help Table'!$A885,";","")))=1,LEN('Special Help Table'!$A885)-LEN(SUBSTITUTE('Special Help Table'!$A885,"and ",""))=0),MID('Special Help Table'!$A885,SEARCH(",",'Special Help Table'!$A885)+1,(SEARCH(";",'Special Help Table'!$A885)-1)-SEARCH(",",'Special Help Table'!$A885))&amp;" "&amp;LEFT('Special Help Table'!$A885,SEARCH(",",'Special Help Table'!$A885)-1)&amp;";"&amp;RIGHT('Special Help Table'!$A885,LEN('Special Help Table'!$A885)-SEARCH(",",'Special Help Table'!$A885,SEARCH(";",'Special Help Table'!$A885)))&amp;" "&amp;MID('Special Help Table'!$A885,SEARCH("; ",'Special Help Table'!$A885)+2,SEARCH(",",'Special Help Table'!$A885,SEARCH(";",'Special Help Table'!$A885))-SEARCH(";",'Special Help Table'!$A885)-2),AND(LEN('Special Help Table'!$A885)-LEN(SUBSTITUTE('Special Help Table'!$A885,"and ",""))=0,LEN('Special Help Table'!$A885)-LEN(SUBSTITUTE('Special Help Table'!$A885,";",""))=0),'Special Help Table'!$A885,AND(LEN('Special Help Table'!$A885)-LEN(SUBSTITUTE('Special Help Table'!$A885,",","")=1),LEN('Special Help Table'!$A885)-LEN(SUBSTITUTE('Special Help Table'!$A885," ","")=20),LEN('Special Help Table'!$A885)-LEN(SUBSTITUTE('Special Help Table'!$A885," and",""))=0,LEN('Special Help Table'!$A885)-LEN(SUBSTITUTE('Special Help Table'!$A885,",","",FIND(" ",'Special Help Table'!$A885)+1))=0),RIGHT('Special Help Table'!$A885,LEN('Special Help Table'!$A885)-FIND(", ",'Special Help Table'!$A885))&amp;" "&amp;LEFT('Special Help Table'!$A885,FIND(",",'Special Help Table'!$A885)-1),AND(LEN('Special Help Table'!$A885)-LEN(SUBSTITUTE('Special Help Table'!$A885,"editor",""))=6,LEN('Special Help Table'!$A885)-LEN(SUBSTITUTE('Special Help Table'!$A885,"(",""))=0,LEN('Special Help Table'!$A885)-LEN(SUBSTITUTE('Special Help Table'!$A885,"and",""))=3,LEN('Special Help Table'!$A885)-LEN(SUBSTITUTE('Special Help Table'!$A885,",",""))=1,LEN('Special Help Table'!$A885)-LEN(SUBSTITUTE('Special Help Table'!$A885," ",""))=3),'Special Help Table'!$A885)</f>
        <v>0</v>
      </c>
      <c r="C885" s="4" t="s">
        <v>1579</v>
      </c>
      <c r="D885" s="2"/>
      <c r="E885" s="2" t="s">
        <v>1491</v>
      </c>
      <c r="F885" s="2"/>
      <c r="G885" s="2"/>
      <c r="H885" s="2"/>
      <c r="I885" s="2"/>
      <c r="J885" s="2"/>
      <c r="K885" s="3">
        <v>44578</v>
      </c>
      <c r="L885" s="2"/>
      <c r="M885" s="2" t="s">
        <v>1571</v>
      </c>
      <c r="N885" s="2" t="s">
        <v>1494</v>
      </c>
    </row>
    <row r="886" spans="1:14" ht="15.75" customHeight="1" x14ac:dyDescent="0.35">
      <c r="A886" s="2"/>
      <c r="B886" s="2" cm="1">
        <f t="array" ref="B886">_xlfn.IFS(AND(LEN('Special Help Table'!$A886)-(LEN(SUBSTITUTE('Special Help Table'!$A886,";","")))=0,LEN('Special Help Table'!$A886)-LEN(SUBSTITUTE('Special Help Table'!$A886,",",""))=1,LEN('Special Help Table'!$A886)-LEN(SUBSTITUTE('Special Help Table'!$A886,"and ",""))=0),MID('Special Help Table'!$A886&amp;" "&amp;'Special Help Table'!$A886,SEARCH(", ",'Special Help Table'!$A886)+1,LEN('Special Help Table'!$A886)),AND(LEN('Special Help Table'!$A886)-(LEN(SUBSTITUTE('Special Help Table'!$A886,";","")))=1,LEN('Special Help Table'!$A886)-LEN(SUBSTITUTE('Special Help Table'!$A886,"and ",""))=0),MID('Special Help Table'!$A886,SEARCH(",",'Special Help Table'!$A886)+1,(SEARCH(";",'Special Help Table'!$A886)-1)-SEARCH(",",'Special Help Table'!$A886))&amp;" "&amp;LEFT('Special Help Table'!$A886,SEARCH(",",'Special Help Table'!$A886)-1)&amp;";"&amp;RIGHT('Special Help Table'!$A886,LEN('Special Help Table'!$A886)-SEARCH(",",'Special Help Table'!$A886,SEARCH(";",'Special Help Table'!$A886)))&amp;" "&amp;MID('Special Help Table'!$A886,SEARCH("; ",'Special Help Table'!$A886)+2,SEARCH(",",'Special Help Table'!$A886,SEARCH(";",'Special Help Table'!$A886))-SEARCH(";",'Special Help Table'!$A886)-2),AND(LEN('Special Help Table'!$A886)-LEN(SUBSTITUTE('Special Help Table'!$A886,"and ",""))=0,LEN('Special Help Table'!$A886)-LEN(SUBSTITUTE('Special Help Table'!$A886,";",""))=0),'Special Help Table'!$A886,AND(LEN('Special Help Table'!$A886)-LEN(SUBSTITUTE('Special Help Table'!$A886,",","")=1),LEN('Special Help Table'!$A886)-LEN(SUBSTITUTE('Special Help Table'!$A886," ","")=20),LEN('Special Help Table'!$A886)-LEN(SUBSTITUTE('Special Help Table'!$A886," and",""))=0,LEN('Special Help Table'!$A886)-LEN(SUBSTITUTE('Special Help Table'!$A886,",","",FIND(" ",'Special Help Table'!$A886)+1))=0),RIGHT('Special Help Table'!$A886,LEN('Special Help Table'!$A886)-FIND(", ",'Special Help Table'!$A886))&amp;" "&amp;LEFT('Special Help Table'!$A886,FIND(",",'Special Help Table'!$A886)-1),AND(LEN('Special Help Table'!$A886)-LEN(SUBSTITUTE('Special Help Table'!$A886,"editor",""))=6,LEN('Special Help Table'!$A886)-LEN(SUBSTITUTE('Special Help Table'!$A886,"(",""))=0,LEN('Special Help Table'!$A886)-LEN(SUBSTITUTE('Special Help Table'!$A886,"and",""))=3,LEN('Special Help Table'!$A886)-LEN(SUBSTITUTE('Special Help Table'!$A886,",",""))=1,LEN('Special Help Table'!$A886)-LEN(SUBSTITUTE('Special Help Table'!$A886," ",""))=3),'Special Help Table'!$A886)</f>
        <v>0</v>
      </c>
      <c r="C886" s="4" t="s">
        <v>1580</v>
      </c>
      <c r="D886" s="2"/>
      <c r="E886" s="2" t="s">
        <v>1491</v>
      </c>
      <c r="F886" s="2"/>
      <c r="G886" s="2"/>
      <c r="H886" s="2"/>
      <c r="I886" s="2"/>
      <c r="J886" s="2"/>
      <c r="K886" s="3">
        <v>44578</v>
      </c>
      <c r="L886" s="2"/>
      <c r="M886" s="2" t="s">
        <v>1571</v>
      </c>
      <c r="N886" s="2" t="s">
        <v>1494</v>
      </c>
    </row>
    <row r="887" spans="1:14" ht="15.75" customHeight="1" x14ac:dyDescent="0.35">
      <c r="A887" s="2"/>
      <c r="B887" s="2" cm="1">
        <f t="array" ref="B887">_xlfn.IFS(AND(LEN('Special Help Table'!$A887)-(LEN(SUBSTITUTE('Special Help Table'!$A887,";","")))=0,LEN('Special Help Table'!$A887)-LEN(SUBSTITUTE('Special Help Table'!$A887,",",""))=1,LEN('Special Help Table'!$A887)-LEN(SUBSTITUTE('Special Help Table'!$A887,"and ",""))=0),MID('Special Help Table'!$A887&amp;" "&amp;'Special Help Table'!$A887,SEARCH(", ",'Special Help Table'!$A887)+1,LEN('Special Help Table'!$A887)),AND(LEN('Special Help Table'!$A887)-(LEN(SUBSTITUTE('Special Help Table'!$A887,";","")))=1,LEN('Special Help Table'!$A887)-LEN(SUBSTITUTE('Special Help Table'!$A887,"and ",""))=0),MID('Special Help Table'!$A887,SEARCH(",",'Special Help Table'!$A887)+1,(SEARCH(";",'Special Help Table'!$A887)-1)-SEARCH(",",'Special Help Table'!$A887))&amp;" "&amp;LEFT('Special Help Table'!$A887,SEARCH(",",'Special Help Table'!$A887)-1)&amp;";"&amp;RIGHT('Special Help Table'!$A887,LEN('Special Help Table'!$A887)-SEARCH(",",'Special Help Table'!$A887,SEARCH(";",'Special Help Table'!$A887)))&amp;" "&amp;MID('Special Help Table'!$A887,SEARCH("; ",'Special Help Table'!$A887)+2,SEARCH(",",'Special Help Table'!$A887,SEARCH(";",'Special Help Table'!$A887))-SEARCH(";",'Special Help Table'!$A887)-2),AND(LEN('Special Help Table'!$A887)-LEN(SUBSTITUTE('Special Help Table'!$A887,"and ",""))=0,LEN('Special Help Table'!$A887)-LEN(SUBSTITUTE('Special Help Table'!$A887,";",""))=0),'Special Help Table'!$A887,AND(LEN('Special Help Table'!$A887)-LEN(SUBSTITUTE('Special Help Table'!$A887,",","")=1),LEN('Special Help Table'!$A887)-LEN(SUBSTITUTE('Special Help Table'!$A887," ","")=20),LEN('Special Help Table'!$A887)-LEN(SUBSTITUTE('Special Help Table'!$A887," and",""))=0,LEN('Special Help Table'!$A887)-LEN(SUBSTITUTE('Special Help Table'!$A887,",","",FIND(" ",'Special Help Table'!$A887)+1))=0),RIGHT('Special Help Table'!$A887,LEN('Special Help Table'!$A887)-FIND(", ",'Special Help Table'!$A887))&amp;" "&amp;LEFT('Special Help Table'!$A887,FIND(",",'Special Help Table'!$A887)-1),AND(LEN('Special Help Table'!$A887)-LEN(SUBSTITUTE('Special Help Table'!$A887,"editor",""))=6,LEN('Special Help Table'!$A887)-LEN(SUBSTITUTE('Special Help Table'!$A887,"(",""))=0,LEN('Special Help Table'!$A887)-LEN(SUBSTITUTE('Special Help Table'!$A887,"and",""))=3,LEN('Special Help Table'!$A887)-LEN(SUBSTITUTE('Special Help Table'!$A887,",",""))=1,LEN('Special Help Table'!$A887)-LEN(SUBSTITUTE('Special Help Table'!$A887," ",""))=3),'Special Help Table'!$A887)</f>
        <v>0</v>
      </c>
      <c r="C887" s="4" t="s">
        <v>1581</v>
      </c>
      <c r="D887" s="2"/>
      <c r="E887" s="2" t="s">
        <v>1491</v>
      </c>
      <c r="F887" s="2"/>
      <c r="G887" s="2"/>
      <c r="H887" s="2"/>
      <c r="I887" s="2"/>
      <c r="J887" s="2"/>
      <c r="K887" s="3">
        <v>44578</v>
      </c>
      <c r="L887" s="2"/>
      <c r="M887" s="2"/>
      <c r="N887" s="2" t="s">
        <v>1494</v>
      </c>
    </row>
    <row r="888" spans="1:14" ht="15.75" customHeight="1" x14ac:dyDescent="0.35">
      <c r="A888" s="2"/>
      <c r="B888" s="2" cm="1">
        <f t="array" ref="B888">_xlfn.IFS(AND(LEN('Special Help Table'!$A888)-(LEN(SUBSTITUTE('Special Help Table'!$A888,";","")))=0,LEN('Special Help Table'!$A888)-LEN(SUBSTITUTE('Special Help Table'!$A888,",",""))=1,LEN('Special Help Table'!$A888)-LEN(SUBSTITUTE('Special Help Table'!$A888,"and ",""))=0),MID('Special Help Table'!$A888&amp;" "&amp;'Special Help Table'!$A888,SEARCH(", ",'Special Help Table'!$A888)+1,LEN('Special Help Table'!$A888)),AND(LEN('Special Help Table'!$A888)-(LEN(SUBSTITUTE('Special Help Table'!$A888,";","")))=1,LEN('Special Help Table'!$A888)-LEN(SUBSTITUTE('Special Help Table'!$A888,"and ",""))=0),MID('Special Help Table'!$A888,SEARCH(",",'Special Help Table'!$A888)+1,(SEARCH(";",'Special Help Table'!$A888)-1)-SEARCH(",",'Special Help Table'!$A888))&amp;" "&amp;LEFT('Special Help Table'!$A888,SEARCH(",",'Special Help Table'!$A888)-1)&amp;";"&amp;RIGHT('Special Help Table'!$A888,LEN('Special Help Table'!$A888)-SEARCH(",",'Special Help Table'!$A888,SEARCH(";",'Special Help Table'!$A888)))&amp;" "&amp;MID('Special Help Table'!$A888,SEARCH("; ",'Special Help Table'!$A888)+2,SEARCH(",",'Special Help Table'!$A888,SEARCH(";",'Special Help Table'!$A888))-SEARCH(";",'Special Help Table'!$A888)-2),AND(LEN('Special Help Table'!$A888)-LEN(SUBSTITUTE('Special Help Table'!$A888,"and ",""))=0,LEN('Special Help Table'!$A888)-LEN(SUBSTITUTE('Special Help Table'!$A888,";",""))=0),'Special Help Table'!$A888,AND(LEN('Special Help Table'!$A888)-LEN(SUBSTITUTE('Special Help Table'!$A888,",","")=1),LEN('Special Help Table'!$A888)-LEN(SUBSTITUTE('Special Help Table'!$A888," ","")=20),LEN('Special Help Table'!$A888)-LEN(SUBSTITUTE('Special Help Table'!$A888," and",""))=0,LEN('Special Help Table'!$A888)-LEN(SUBSTITUTE('Special Help Table'!$A888,",","",FIND(" ",'Special Help Table'!$A888)+1))=0),RIGHT('Special Help Table'!$A888,LEN('Special Help Table'!$A888)-FIND(", ",'Special Help Table'!$A888))&amp;" "&amp;LEFT('Special Help Table'!$A888,FIND(",",'Special Help Table'!$A888)-1),AND(LEN('Special Help Table'!$A888)-LEN(SUBSTITUTE('Special Help Table'!$A888,"editor",""))=6,LEN('Special Help Table'!$A888)-LEN(SUBSTITUTE('Special Help Table'!$A888,"(",""))=0,LEN('Special Help Table'!$A888)-LEN(SUBSTITUTE('Special Help Table'!$A888,"and",""))=3,LEN('Special Help Table'!$A888)-LEN(SUBSTITUTE('Special Help Table'!$A888,",",""))=1,LEN('Special Help Table'!$A888)-LEN(SUBSTITUTE('Special Help Table'!$A888," ",""))=3),'Special Help Table'!$A888)</f>
        <v>0</v>
      </c>
      <c r="C888" s="4" t="s">
        <v>1582</v>
      </c>
      <c r="D888" s="2"/>
      <c r="E888" s="2" t="s">
        <v>1491</v>
      </c>
      <c r="F888" s="2"/>
      <c r="G888" s="2"/>
      <c r="H888" s="2"/>
      <c r="I888" s="2"/>
      <c r="J888" s="2"/>
      <c r="K888" s="3">
        <v>44578</v>
      </c>
      <c r="L888" s="2"/>
      <c r="M888" s="2" t="s">
        <v>1571</v>
      </c>
      <c r="N888" s="2" t="s">
        <v>1494</v>
      </c>
    </row>
    <row r="889" spans="1:14" ht="15.75" customHeight="1" x14ac:dyDescent="0.35">
      <c r="A889" s="2"/>
      <c r="B889" s="2" cm="1">
        <f t="array" ref="B889">_xlfn.IFS(AND(LEN('Special Help Table'!$A889)-(LEN(SUBSTITUTE('Special Help Table'!$A889,";","")))=0,LEN('Special Help Table'!$A889)-LEN(SUBSTITUTE('Special Help Table'!$A889,",",""))=1,LEN('Special Help Table'!$A889)-LEN(SUBSTITUTE('Special Help Table'!$A889,"and ",""))=0),MID('Special Help Table'!$A889&amp;" "&amp;'Special Help Table'!$A889,SEARCH(", ",'Special Help Table'!$A889)+1,LEN('Special Help Table'!$A889)),AND(LEN('Special Help Table'!$A889)-(LEN(SUBSTITUTE('Special Help Table'!$A889,";","")))=1,LEN('Special Help Table'!$A889)-LEN(SUBSTITUTE('Special Help Table'!$A889,"and ",""))=0),MID('Special Help Table'!$A889,SEARCH(",",'Special Help Table'!$A889)+1,(SEARCH(";",'Special Help Table'!$A889)-1)-SEARCH(",",'Special Help Table'!$A889))&amp;" "&amp;LEFT('Special Help Table'!$A889,SEARCH(",",'Special Help Table'!$A889)-1)&amp;";"&amp;RIGHT('Special Help Table'!$A889,LEN('Special Help Table'!$A889)-SEARCH(",",'Special Help Table'!$A889,SEARCH(";",'Special Help Table'!$A889)))&amp;" "&amp;MID('Special Help Table'!$A889,SEARCH("; ",'Special Help Table'!$A889)+2,SEARCH(",",'Special Help Table'!$A889,SEARCH(";",'Special Help Table'!$A889))-SEARCH(";",'Special Help Table'!$A889)-2),AND(LEN('Special Help Table'!$A889)-LEN(SUBSTITUTE('Special Help Table'!$A889,"and ",""))=0,LEN('Special Help Table'!$A889)-LEN(SUBSTITUTE('Special Help Table'!$A889,";",""))=0),'Special Help Table'!$A889,AND(LEN('Special Help Table'!$A889)-LEN(SUBSTITUTE('Special Help Table'!$A889,",","")=1),LEN('Special Help Table'!$A889)-LEN(SUBSTITUTE('Special Help Table'!$A889," ","")=20),LEN('Special Help Table'!$A889)-LEN(SUBSTITUTE('Special Help Table'!$A889," and",""))=0,LEN('Special Help Table'!$A889)-LEN(SUBSTITUTE('Special Help Table'!$A889,",","",FIND(" ",'Special Help Table'!$A889)+1))=0),RIGHT('Special Help Table'!$A889,LEN('Special Help Table'!$A889)-FIND(", ",'Special Help Table'!$A889))&amp;" "&amp;LEFT('Special Help Table'!$A889,FIND(",",'Special Help Table'!$A889)-1),AND(LEN('Special Help Table'!$A889)-LEN(SUBSTITUTE('Special Help Table'!$A889,"editor",""))=6,LEN('Special Help Table'!$A889)-LEN(SUBSTITUTE('Special Help Table'!$A889,"(",""))=0,LEN('Special Help Table'!$A889)-LEN(SUBSTITUTE('Special Help Table'!$A889,"and",""))=3,LEN('Special Help Table'!$A889)-LEN(SUBSTITUTE('Special Help Table'!$A889,",",""))=1,LEN('Special Help Table'!$A889)-LEN(SUBSTITUTE('Special Help Table'!$A889," ",""))=3),'Special Help Table'!$A889)</f>
        <v>0</v>
      </c>
      <c r="C889" s="4" t="s">
        <v>1583</v>
      </c>
      <c r="D889" s="2"/>
      <c r="E889" s="2" t="s">
        <v>1491</v>
      </c>
      <c r="F889" s="2"/>
      <c r="G889" s="2"/>
      <c r="H889" s="2"/>
      <c r="I889" s="2"/>
      <c r="J889" s="2"/>
      <c r="K889" s="3">
        <v>44578</v>
      </c>
      <c r="L889" s="2"/>
      <c r="M889" s="2" t="s">
        <v>1571</v>
      </c>
      <c r="N889" s="2" t="s">
        <v>1494</v>
      </c>
    </row>
    <row r="890" spans="1:14" ht="15.75" customHeight="1" x14ac:dyDescent="0.35">
      <c r="A890" s="2"/>
      <c r="B890" s="2" cm="1">
        <f t="array" ref="B890">_xlfn.IFS(AND(LEN('Special Help Table'!$A890)-(LEN(SUBSTITUTE('Special Help Table'!$A890,";","")))=0,LEN('Special Help Table'!$A890)-LEN(SUBSTITUTE('Special Help Table'!$A890,",",""))=1,LEN('Special Help Table'!$A890)-LEN(SUBSTITUTE('Special Help Table'!$A890,"and ",""))=0),MID('Special Help Table'!$A890&amp;" "&amp;'Special Help Table'!$A890,SEARCH(", ",'Special Help Table'!$A890)+1,LEN('Special Help Table'!$A890)),AND(LEN('Special Help Table'!$A890)-(LEN(SUBSTITUTE('Special Help Table'!$A890,";","")))=1,LEN('Special Help Table'!$A890)-LEN(SUBSTITUTE('Special Help Table'!$A890,"and ",""))=0),MID('Special Help Table'!$A890,SEARCH(",",'Special Help Table'!$A890)+1,(SEARCH(";",'Special Help Table'!$A890)-1)-SEARCH(",",'Special Help Table'!$A890))&amp;" "&amp;LEFT('Special Help Table'!$A890,SEARCH(",",'Special Help Table'!$A890)-1)&amp;";"&amp;RIGHT('Special Help Table'!$A890,LEN('Special Help Table'!$A890)-SEARCH(",",'Special Help Table'!$A890,SEARCH(";",'Special Help Table'!$A890)))&amp;" "&amp;MID('Special Help Table'!$A890,SEARCH("; ",'Special Help Table'!$A890)+2,SEARCH(",",'Special Help Table'!$A890,SEARCH(";",'Special Help Table'!$A890))-SEARCH(";",'Special Help Table'!$A890)-2),AND(LEN('Special Help Table'!$A890)-LEN(SUBSTITUTE('Special Help Table'!$A890,"and ",""))=0,LEN('Special Help Table'!$A890)-LEN(SUBSTITUTE('Special Help Table'!$A890,";",""))=0),'Special Help Table'!$A890,AND(LEN('Special Help Table'!$A890)-LEN(SUBSTITUTE('Special Help Table'!$A890,",","")=1),LEN('Special Help Table'!$A890)-LEN(SUBSTITUTE('Special Help Table'!$A890," ","")=20),LEN('Special Help Table'!$A890)-LEN(SUBSTITUTE('Special Help Table'!$A890," and",""))=0,LEN('Special Help Table'!$A890)-LEN(SUBSTITUTE('Special Help Table'!$A890,",","",FIND(" ",'Special Help Table'!$A890)+1))=0),RIGHT('Special Help Table'!$A890,LEN('Special Help Table'!$A890)-FIND(", ",'Special Help Table'!$A890))&amp;" "&amp;LEFT('Special Help Table'!$A890,FIND(",",'Special Help Table'!$A890)-1),AND(LEN('Special Help Table'!$A890)-LEN(SUBSTITUTE('Special Help Table'!$A890,"editor",""))=6,LEN('Special Help Table'!$A890)-LEN(SUBSTITUTE('Special Help Table'!$A890,"(",""))=0,LEN('Special Help Table'!$A890)-LEN(SUBSTITUTE('Special Help Table'!$A890,"and",""))=3,LEN('Special Help Table'!$A890)-LEN(SUBSTITUTE('Special Help Table'!$A890,",",""))=1,LEN('Special Help Table'!$A890)-LEN(SUBSTITUTE('Special Help Table'!$A890," ",""))=3),'Special Help Table'!$A890)</f>
        <v>0</v>
      </c>
      <c r="C890" s="4" t="s">
        <v>1584</v>
      </c>
      <c r="D890" s="2"/>
      <c r="E890" s="2" t="s">
        <v>1491</v>
      </c>
      <c r="F890" s="2"/>
      <c r="G890" s="2"/>
      <c r="H890" s="2"/>
      <c r="I890" s="2"/>
      <c r="J890" s="2"/>
      <c r="K890" s="3">
        <v>44578</v>
      </c>
      <c r="L890" s="2"/>
      <c r="M890" s="2" t="s">
        <v>1571</v>
      </c>
      <c r="N890" s="2" t="s">
        <v>1494</v>
      </c>
    </row>
    <row r="891" spans="1:14" ht="15.75" customHeight="1" x14ac:dyDescent="0.35">
      <c r="A891" s="2"/>
      <c r="B891" s="2" cm="1">
        <f t="array" ref="B891">_xlfn.IFS(AND(LEN('Special Help Table'!$A891)-(LEN(SUBSTITUTE('Special Help Table'!$A891,";","")))=0,LEN('Special Help Table'!$A891)-LEN(SUBSTITUTE('Special Help Table'!$A891,",",""))=1,LEN('Special Help Table'!$A891)-LEN(SUBSTITUTE('Special Help Table'!$A891,"and ",""))=0),MID('Special Help Table'!$A891&amp;" "&amp;'Special Help Table'!$A891,SEARCH(", ",'Special Help Table'!$A891)+1,LEN('Special Help Table'!$A891)),AND(LEN('Special Help Table'!$A891)-(LEN(SUBSTITUTE('Special Help Table'!$A891,";","")))=1,LEN('Special Help Table'!$A891)-LEN(SUBSTITUTE('Special Help Table'!$A891,"and ",""))=0),MID('Special Help Table'!$A891,SEARCH(",",'Special Help Table'!$A891)+1,(SEARCH(";",'Special Help Table'!$A891)-1)-SEARCH(",",'Special Help Table'!$A891))&amp;" "&amp;LEFT('Special Help Table'!$A891,SEARCH(",",'Special Help Table'!$A891)-1)&amp;";"&amp;RIGHT('Special Help Table'!$A891,LEN('Special Help Table'!$A891)-SEARCH(",",'Special Help Table'!$A891,SEARCH(";",'Special Help Table'!$A891)))&amp;" "&amp;MID('Special Help Table'!$A891,SEARCH("; ",'Special Help Table'!$A891)+2,SEARCH(",",'Special Help Table'!$A891,SEARCH(";",'Special Help Table'!$A891))-SEARCH(";",'Special Help Table'!$A891)-2),AND(LEN('Special Help Table'!$A891)-LEN(SUBSTITUTE('Special Help Table'!$A891,"and ",""))=0,LEN('Special Help Table'!$A891)-LEN(SUBSTITUTE('Special Help Table'!$A891,";",""))=0),'Special Help Table'!$A891,AND(LEN('Special Help Table'!$A891)-LEN(SUBSTITUTE('Special Help Table'!$A891,",","")=1),LEN('Special Help Table'!$A891)-LEN(SUBSTITUTE('Special Help Table'!$A891," ","")=20),LEN('Special Help Table'!$A891)-LEN(SUBSTITUTE('Special Help Table'!$A891," and",""))=0,LEN('Special Help Table'!$A891)-LEN(SUBSTITUTE('Special Help Table'!$A891,",","",FIND(" ",'Special Help Table'!$A891)+1))=0),RIGHT('Special Help Table'!$A891,LEN('Special Help Table'!$A891)-FIND(", ",'Special Help Table'!$A891))&amp;" "&amp;LEFT('Special Help Table'!$A891,FIND(",",'Special Help Table'!$A891)-1),AND(LEN('Special Help Table'!$A891)-LEN(SUBSTITUTE('Special Help Table'!$A891,"editor",""))=6,LEN('Special Help Table'!$A891)-LEN(SUBSTITUTE('Special Help Table'!$A891,"(",""))=0,LEN('Special Help Table'!$A891)-LEN(SUBSTITUTE('Special Help Table'!$A891,"and",""))=3,LEN('Special Help Table'!$A891)-LEN(SUBSTITUTE('Special Help Table'!$A891,",",""))=1,LEN('Special Help Table'!$A891)-LEN(SUBSTITUTE('Special Help Table'!$A891," ",""))=3),'Special Help Table'!$A891)</f>
        <v>0</v>
      </c>
      <c r="C891" s="4" t="s">
        <v>1585</v>
      </c>
      <c r="D891" s="2"/>
      <c r="E891" s="2" t="s">
        <v>1491</v>
      </c>
      <c r="F891" s="2"/>
      <c r="G891" s="2"/>
      <c r="H891" s="2"/>
      <c r="I891" s="2"/>
      <c r="J891" s="2"/>
      <c r="K891" s="3">
        <v>44578</v>
      </c>
      <c r="L891" s="2"/>
      <c r="M891" s="2" t="s">
        <v>1571</v>
      </c>
      <c r="N891" s="2" t="s">
        <v>1494</v>
      </c>
    </row>
    <row r="892" spans="1:14" ht="15.75" customHeight="1" x14ac:dyDescent="0.35">
      <c r="A892" s="2"/>
      <c r="B892" s="2" cm="1">
        <f t="array" ref="B892">_xlfn.IFS(AND(LEN('Special Help Table'!$A892)-(LEN(SUBSTITUTE('Special Help Table'!$A892,";","")))=0,LEN('Special Help Table'!$A892)-LEN(SUBSTITUTE('Special Help Table'!$A892,",",""))=1,LEN('Special Help Table'!$A892)-LEN(SUBSTITUTE('Special Help Table'!$A892,"and ",""))=0),MID('Special Help Table'!$A892&amp;" "&amp;'Special Help Table'!$A892,SEARCH(", ",'Special Help Table'!$A892)+1,LEN('Special Help Table'!$A892)),AND(LEN('Special Help Table'!$A892)-(LEN(SUBSTITUTE('Special Help Table'!$A892,";","")))=1,LEN('Special Help Table'!$A892)-LEN(SUBSTITUTE('Special Help Table'!$A892,"and ",""))=0),MID('Special Help Table'!$A892,SEARCH(",",'Special Help Table'!$A892)+1,(SEARCH(";",'Special Help Table'!$A892)-1)-SEARCH(",",'Special Help Table'!$A892))&amp;" "&amp;LEFT('Special Help Table'!$A892,SEARCH(",",'Special Help Table'!$A892)-1)&amp;";"&amp;RIGHT('Special Help Table'!$A892,LEN('Special Help Table'!$A892)-SEARCH(",",'Special Help Table'!$A892,SEARCH(";",'Special Help Table'!$A892)))&amp;" "&amp;MID('Special Help Table'!$A892,SEARCH("; ",'Special Help Table'!$A892)+2,SEARCH(",",'Special Help Table'!$A892,SEARCH(";",'Special Help Table'!$A892))-SEARCH(";",'Special Help Table'!$A892)-2),AND(LEN('Special Help Table'!$A892)-LEN(SUBSTITUTE('Special Help Table'!$A892,"and ",""))=0,LEN('Special Help Table'!$A892)-LEN(SUBSTITUTE('Special Help Table'!$A892,";",""))=0),'Special Help Table'!$A892,AND(LEN('Special Help Table'!$A892)-LEN(SUBSTITUTE('Special Help Table'!$A892,",","")=1),LEN('Special Help Table'!$A892)-LEN(SUBSTITUTE('Special Help Table'!$A892," ","")=20),LEN('Special Help Table'!$A892)-LEN(SUBSTITUTE('Special Help Table'!$A892," and",""))=0,LEN('Special Help Table'!$A892)-LEN(SUBSTITUTE('Special Help Table'!$A892,",","",FIND(" ",'Special Help Table'!$A892)+1))=0),RIGHT('Special Help Table'!$A892,LEN('Special Help Table'!$A892)-FIND(", ",'Special Help Table'!$A892))&amp;" "&amp;LEFT('Special Help Table'!$A892,FIND(",",'Special Help Table'!$A892)-1),AND(LEN('Special Help Table'!$A892)-LEN(SUBSTITUTE('Special Help Table'!$A892,"editor",""))=6,LEN('Special Help Table'!$A892)-LEN(SUBSTITUTE('Special Help Table'!$A892,"(",""))=0,LEN('Special Help Table'!$A892)-LEN(SUBSTITUTE('Special Help Table'!$A892,"and",""))=3,LEN('Special Help Table'!$A892)-LEN(SUBSTITUTE('Special Help Table'!$A892,",",""))=1,LEN('Special Help Table'!$A892)-LEN(SUBSTITUTE('Special Help Table'!$A892," ",""))=3),'Special Help Table'!$A892)</f>
        <v>0</v>
      </c>
      <c r="C892" s="4" t="s">
        <v>1586</v>
      </c>
      <c r="D892" s="2"/>
      <c r="E892" s="2" t="s">
        <v>1491</v>
      </c>
      <c r="F892" s="2"/>
      <c r="G892" s="2"/>
      <c r="H892" s="2"/>
      <c r="I892" s="2"/>
      <c r="J892" s="2"/>
      <c r="K892" s="3">
        <v>40188</v>
      </c>
      <c r="L892" s="2"/>
      <c r="M892" s="2"/>
      <c r="N892" s="2" t="s">
        <v>1494</v>
      </c>
    </row>
    <row r="893" spans="1:14" ht="15.75" customHeight="1" x14ac:dyDescent="0.35">
      <c r="A893" s="2"/>
      <c r="B893" s="2" cm="1">
        <f t="array" ref="B893">_xlfn.IFS(AND(LEN('Special Help Table'!$A893)-(LEN(SUBSTITUTE('Special Help Table'!$A893,";","")))=0,LEN('Special Help Table'!$A893)-LEN(SUBSTITUTE('Special Help Table'!$A893,",",""))=1,LEN('Special Help Table'!$A893)-LEN(SUBSTITUTE('Special Help Table'!$A893,"and ",""))=0),MID('Special Help Table'!$A893&amp;" "&amp;'Special Help Table'!$A893,SEARCH(", ",'Special Help Table'!$A893)+1,LEN('Special Help Table'!$A893)),AND(LEN('Special Help Table'!$A893)-(LEN(SUBSTITUTE('Special Help Table'!$A893,";","")))=1,LEN('Special Help Table'!$A893)-LEN(SUBSTITUTE('Special Help Table'!$A893,"and ",""))=0),MID('Special Help Table'!$A893,SEARCH(",",'Special Help Table'!$A893)+1,(SEARCH(";",'Special Help Table'!$A893)-1)-SEARCH(",",'Special Help Table'!$A893))&amp;" "&amp;LEFT('Special Help Table'!$A893,SEARCH(",",'Special Help Table'!$A893)-1)&amp;";"&amp;RIGHT('Special Help Table'!$A893,LEN('Special Help Table'!$A893)-SEARCH(",",'Special Help Table'!$A893,SEARCH(";",'Special Help Table'!$A893)))&amp;" "&amp;MID('Special Help Table'!$A893,SEARCH("; ",'Special Help Table'!$A893)+2,SEARCH(",",'Special Help Table'!$A893,SEARCH(";",'Special Help Table'!$A893))-SEARCH(";",'Special Help Table'!$A893)-2),AND(LEN('Special Help Table'!$A893)-LEN(SUBSTITUTE('Special Help Table'!$A893,"and ",""))=0,LEN('Special Help Table'!$A893)-LEN(SUBSTITUTE('Special Help Table'!$A893,";",""))=0),'Special Help Table'!$A893,AND(LEN('Special Help Table'!$A893)-LEN(SUBSTITUTE('Special Help Table'!$A893,",","")=1),LEN('Special Help Table'!$A893)-LEN(SUBSTITUTE('Special Help Table'!$A893," ","")=20),LEN('Special Help Table'!$A893)-LEN(SUBSTITUTE('Special Help Table'!$A893," and",""))=0,LEN('Special Help Table'!$A893)-LEN(SUBSTITUTE('Special Help Table'!$A893,",","",FIND(" ",'Special Help Table'!$A893)+1))=0),RIGHT('Special Help Table'!$A893,LEN('Special Help Table'!$A893)-FIND(", ",'Special Help Table'!$A893))&amp;" "&amp;LEFT('Special Help Table'!$A893,FIND(",",'Special Help Table'!$A893)-1),AND(LEN('Special Help Table'!$A893)-LEN(SUBSTITUTE('Special Help Table'!$A893,"editor",""))=6,LEN('Special Help Table'!$A893)-LEN(SUBSTITUTE('Special Help Table'!$A893,"(",""))=0,LEN('Special Help Table'!$A893)-LEN(SUBSTITUTE('Special Help Table'!$A893,"and",""))=3,LEN('Special Help Table'!$A893)-LEN(SUBSTITUTE('Special Help Table'!$A893,",",""))=1,LEN('Special Help Table'!$A893)-LEN(SUBSTITUTE('Special Help Table'!$A893," ",""))=3),'Special Help Table'!$A893)</f>
        <v>0</v>
      </c>
      <c r="C893" s="4" t="s">
        <v>1587</v>
      </c>
      <c r="D893" s="2"/>
      <c r="E893" s="2" t="s">
        <v>1491</v>
      </c>
      <c r="F893" s="2"/>
      <c r="G893" s="2"/>
      <c r="H893" s="2"/>
      <c r="I893" s="2"/>
      <c r="J893" s="2"/>
      <c r="K893" s="3">
        <v>40053</v>
      </c>
      <c r="L893" s="2"/>
      <c r="M893" s="2"/>
      <c r="N893" s="2" t="s">
        <v>1494</v>
      </c>
    </row>
    <row r="894" spans="1:14" ht="15.75" customHeight="1" x14ac:dyDescent="0.35">
      <c r="A894" s="2"/>
      <c r="B894" s="2" cm="1">
        <f t="array" ref="B894">_xlfn.IFS(AND(LEN('Special Help Table'!$A894)-(LEN(SUBSTITUTE('Special Help Table'!$A894,";","")))=0,LEN('Special Help Table'!$A894)-LEN(SUBSTITUTE('Special Help Table'!$A894,",",""))=1,LEN('Special Help Table'!$A894)-LEN(SUBSTITUTE('Special Help Table'!$A894,"and ",""))=0),MID('Special Help Table'!$A894&amp;" "&amp;'Special Help Table'!$A894,SEARCH(", ",'Special Help Table'!$A894)+1,LEN('Special Help Table'!$A894)),AND(LEN('Special Help Table'!$A894)-(LEN(SUBSTITUTE('Special Help Table'!$A894,";","")))=1,LEN('Special Help Table'!$A894)-LEN(SUBSTITUTE('Special Help Table'!$A894,"and ",""))=0),MID('Special Help Table'!$A894,SEARCH(",",'Special Help Table'!$A894)+1,(SEARCH(";",'Special Help Table'!$A894)-1)-SEARCH(",",'Special Help Table'!$A894))&amp;" "&amp;LEFT('Special Help Table'!$A894,SEARCH(",",'Special Help Table'!$A894)-1)&amp;";"&amp;RIGHT('Special Help Table'!$A894,LEN('Special Help Table'!$A894)-SEARCH(",",'Special Help Table'!$A894,SEARCH(";",'Special Help Table'!$A894)))&amp;" "&amp;MID('Special Help Table'!$A894,SEARCH("; ",'Special Help Table'!$A894)+2,SEARCH(",",'Special Help Table'!$A894,SEARCH(";",'Special Help Table'!$A894))-SEARCH(";",'Special Help Table'!$A894)-2),AND(LEN('Special Help Table'!$A894)-LEN(SUBSTITUTE('Special Help Table'!$A894,"and ",""))=0,LEN('Special Help Table'!$A894)-LEN(SUBSTITUTE('Special Help Table'!$A894,";",""))=0),'Special Help Table'!$A894,AND(LEN('Special Help Table'!$A894)-LEN(SUBSTITUTE('Special Help Table'!$A894,",","")=1),LEN('Special Help Table'!$A894)-LEN(SUBSTITUTE('Special Help Table'!$A894," ","")=20),LEN('Special Help Table'!$A894)-LEN(SUBSTITUTE('Special Help Table'!$A894," and",""))=0,LEN('Special Help Table'!$A894)-LEN(SUBSTITUTE('Special Help Table'!$A894,",","",FIND(" ",'Special Help Table'!$A894)+1))=0),RIGHT('Special Help Table'!$A894,LEN('Special Help Table'!$A894)-FIND(", ",'Special Help Table'!$A894))&amp;" "&amp;LEFT('Special Help Table'!$A894,FIND(",",'Special Help Table'!$A894)-1),AND(LEN('Special Help Table'!$A894)-LEN(SUBSTITUTE('Special Help Table'!$A894,"editor",""))=6,LEN('Special Help Table'!$A894)-LEN(SUBSTITUTE('Special Help Table'!$A894,"(",""))=0,LEN('Special Help Table'!$A894)-LEN(SUBSTITUTE('Special Help Table'!$A894,"and",""))=3,LEN('Special Help Table'!$A894)-LEN(SUBSTITUTE('Special Help Table'!$A894,",",""))=1,LEN('Special Help Table'!$A894)-LEN(SUBSTITUTE('Special Help Table'!$A894," ",""))=3),'Special Help Table'!$A894)</f>
        <v>0</v>
      </c>
      <c r="C894" s="4" t="s">
        <v>1588</v>
      </c>
      <c r="D894" s="2"/>
      <c r="E894" s="2" t="s">
        <v>1491</v>
      </c>
      <c r="F894" s="2"/>
      <c r="G894" s="2"/>
      <c r="H894" s="2"/>
      <c r="I894" s="2"/>
      <c r="J894" s="2"/>
      <c r="K894" s="3">
        <v>44578</v>
      </c>
      <c r="L894" s="2"/>
      <c r="M894" s="2"/>
      <c r="N894" s="2" t="s">
        <v>1494</v>
      </c>
    </row>
    <row r="895" spans="1:14" ht="15.75" customHeight="1" x14ac:dyDescent="0.35">
      <c r="A895" s="2"/>
      <c r="B895" s="2" cm="1">
        <f t="array" ref="B895">_xlfn.IFS(AND(LEN('Special Help Table'!$A895)-(LEN(SUBSTITUTE('Special Help Table'!$A895,";","")))=0,LEN('Special Help Table'!$A895)-LEN(SUBSTITUTE('Special Help Table'!$A895,",",""))=1,LEN('Special Help Table'!$A895)-LEN(SUBSTITUTE('Special Help Table'!$A895,"and ",""))=0),MID('Special Help Table'!$A895&amp;" "&amp;'Special Help Table'!$A895,SEARCH(", ",'Special Help Table'!$A895)+1,LEN('Special Help Table'!$A895)),AND(LEN('Special Help Table'!$A895)-(LEN(SUBSTITUTE('Special Help Table'!$A895,";","")))=1,LEN('Special Help Table'!$A895)-LEN(SUBSTITUTE('Special Help Table'!$A895,"and ",""))=0),MID('Special Help Table'!$A895,SEARCH(",",'Special Help Table'!$A895)+1,(SEARCH(";",'Special Help Table'!$A895)-1)-SEARCH(",",'Special Help Table'!$A895))&amp;" "&amp;LEFT('Special Help Table'!$A895,SEARCH(",",'Special Help Table'!$A895)-1)&amp;";"&amp;RIGHT('Special Help Table'!$A895,LEN('Special Help Table'!$A895)-SEARCH(",",'Special Help Table'!$A895,SEARCH(";",'Special Help Table'!$A895)))&amp;" "&amp;MID('Special Help Table'!$A895,SEARCH("; ",'Special Help Table'!$A895)+2,SEARCH(",",'Special Help Table'!$A895,SEARCH(";",'Special Help Table'!$A895))-SEARCH(";",'Special Help Table'!$A895)-2),AND(LEN('Special Help Table'!$A895)-LEN(SUBSTITUTE('Special Help Table'!$A895,"and ",""))=0,LEN('Special Help Table'!$A895)-LEN(SUBSTITUTE('Special Help Table'!$A895,";",""))=0),'Special Help Table'!$A895,AND(LEN('Special Help Table'!$A895)-LEN(SUBSTITUTE('Special Help Table'!$A895,",","")=1),LEN('Special Help Table'!$A895)-LEN(SUBSTITUTE('Special Help Table'!$A895," ","")=20),LEN('Special Help Table'!$A895)-LEN(SUBSTITUTE('Special Help Table'!$A895," and",""))=0,LEN('Special Help Table'!$A895)-LEN(SUBSTITUTE('Special Help Table'!$A895,",","",FIND(" ",'Special Help Table'!$A895)+1))=0),RIGHT('Special Help Table'!$A895,LEN('Special Help Table'!$A895)-FIND(", ",'Special Help Table'!$A895))&amp;" "&amp;LEFT('Special Help Table'!$A895,FIND(",",'Special Help Table'!$A895)-1),AND(LEN('Special Help Table'!$A895)-LEN(SUBSTITUTE('Special Help Table'!$A895,"editor",""))=6,LEN('Special Help Table'!$A895)-LEN(SUBSTITUTE('Special Help Table'!$A895,"(",""))=0,LEN('Special Help Table'!$A895)-LEN(SUBSTITUTE('Special Help Table'!$A895,"and",""))=3,LEN('Special Help Table'!$A895)-LEN(SUBSTITUTE('Special Help Table'!$A895,",",""))=1,LEN('Special Help Table'!$A895)-LEN(SUBSTITUTE('Special Help Table'!$A895," ",""))=3),'Special Help Table'!$A895)</f>
        <v>0</v>
      </c>
      <c r="C895" s="4" t="s">
        <v>1589</v>
      </c>
      <c r="D895" s="2"/>
      <c r="E895" s="2" t="s">
        <v>1491</v>
      </c>
      <c r="F895" s="2"/>
      <c r="G895" s="2"/>
      <c r="H895" s="2"/>
      <c r="I895" s="2"/>
      <c r="J895" s="2"/>
      <c r="K895" s="3">
        <v>40054</v>
      </c>
      <c r="L895" s="2"/>
      <c r="M895" s="2"/>
      <c r="N895" s="2" t="s">
        <v>1494</v>
      </c>
    </row>
    <row r="896" spans="1:14" ht="15.75" customHeight="1" x14ac:dyDescent="0.35">
      <c r="A896" s="2"/>
      <c r="B896" s="2" cm="1">
        <f t="array" ref="B896">_xlfn.IFS(AND(LEN('Special Help Table'!$A896)-(LEN(SUBSTITUTE('Special Help Table'!$A896,";","")))=0,LEN('Special Help Table'!$A896)-LEN(SUBSTITUTE('Special Help Table'!$A896,",",""))=1,LEN('Special Help Table'!$A896)-LEN(SUBSTITUTE('Special Help Table'!$A896,"and ",""))=0),MID('Special Help Table'!$A896&amp;" "&amp;'Special Help Table'!$A896,SEARCH(", ",'Special Help Table'!$A896)+1,LEN('Special Help Table'!$A896)),AND(LEN('Special Help Table'!$A896)-(LEN(SUBSTITUTE('Special Help Table'!$A896,";","")))=1,LEN('Special Help Table'!$A896)-LEN(SUBSTITUTE('Special Help Table'!$A896,"and ",""))=0),MID('Special Help Table'!$A896,SEARCH(",",'Special Help Table'!$A896)+1,(SEARCH(";",'Special Help Table'!$A896)-1)-SEARCH(",",'Special Help Table'!$A896))&amp;" "&amp;LEFT('Special Help Table'!$A896,SEARCH(",",'Special Help Table'!$A896)-1)&amp;";"&amp;RIGHT('Special Help Table'!$A896,LEN('Special Help Table'!$A896)-SEARCH(",",'Special Help Table'!$A896,SEARCH(";",'Special Help Table'!$A896)))&amp;" "&amp;MID('Special Help Table'!$A896,SEARCH("; ",'Special Help Table'!$A896)+2,SEARCH(",",'Special Help Table'!$A896,SEARCH(";",'Special Help Table'!$A896))-SEARCH(";",'Special Help Table'!$A896)-2),AND(LEN('Special Help Table'!$A896)-LEN(SUBSTITUTE('Special Help Table'!$A896,"and ",""))=0,LEN('Special Help Table'!$A896)-LEN(SUBSTITUTE('Special Help Table'!$A896,";",""))=0),'Special Help Table'!$A896,AND(LEN('Special Help Table'!$A896)-LEN(SUBSTITUTE('Special Help Table'!$A896,",","")=1),LEN('Special Help Table'!$A896)-LEN(SUBSTITUTE('Special Help Table'!$A896," ","")=20),LEN('Special Help Table'!$A896)-LEN(SUBSTITUTE('Special Help Table'!$A896," and",""))=0,LEN('Special Help Table'!$A896)-LEN(SUBSTITUTE('Special Help Table'!$A896,",","",FIND(" ",'Special Help Table'!$A896)+1))=0),RIGHT('Special Help Table'!$A896,LEN('Special Help Table'!$A896)-FIND(", ",'Special Help Table'!$A896))&amp;" "&amp;LEFT('Special Help Table'!$A896,FIND(",",'Special Help Table'!$A896)-1),AND(LEN('Special Help Table'!$A896)-LEN(SUBSTITUTE('Special Help Table'!$A896,"editor",""))=6,LEN('Special Help Table'!$A896)-LEN(SUBSTITUTE('Special Help Table'!$A896,"(",""))=0,LEN('Special Help Table'!$A896)-LEN(SUBSTITUTE('Special Help Table'!$A896,"and",""))=3,LEN('Special Help Table'!$A896)-LEN(SUBSTITUTE('Special Help Table'!$A896,",",""))=1,LEN('Special Help Table'!$A896)-LEN(SUBSTITUTE('Special Help Table'!$A896," ",""))=3),'Special Help Table'!$A896)</f>
        <v>0</v>
      </c>
      <c r="C896" s="4" t="s">
        <v>1590</v>
      </c>
      <c r="D896" s="2"/>
      <c r="E896" s="2" t="s">
        <v>1491</v>
      </c>
      <c r="F896" s="2"/>
      <c r="G896" s="2"/>
      <c r="H896" s="2"/>
      <c r="I896" s="2"/>
      <c r="J896" s="2"/>
      <c r="K896" s="3">
        <v>40055</v>
      </c>
      <c r="L896" s="2"/>
      <c r="M896" s="2"/>
      <c r="N896" s="2" t="s">
        <v>1494</v>
      </c>
    </row>
    <row r="897" spans="1:14" ht="15.75" customHeight="1" x14ac:dyDescent="0.35">
      <c r="A897" s="2"/>
      <c r="B897" s="2" cm="1">
        <f t="array" ref="B897">_xlfn.IFS(AND(LEN('Special Help Table'!$A897)-(LEN(SUBSTITUTE('Special Help Table'!$A897,";","")))=0,LEN('Special Help Table'!$A897)-LEN(SUBSTITUTE('Special Help Table'!$A897,",",""))=1,LEN('Special Help Table'!$A897)-LEN(SUBSTITUTE('Special Help Table'!$A897,"and ",""))=0),MID('Special Help Table'!$A897&amp;" "&amp;'Special Help Table'!$A897,SEARCH(", ",'Special Help Table'!$A897)+1,LEN('Special Help Table'!$A897)),AND(LEN('Special Help Table'!$A897)-(LEN(SUBSTITUTE('Special Help Table'!$A897,";","")))=1,LEN('Special Help Table'!$A897)-LEN(SUBSTITUTE('Special Help Table'!$A897,"and ",""))=0),MID('Special Help Table'!$A897,SEARCH(",",'Special Help Table'!$A897)+1,(SEARCH(";",'Special Help Table'!$A897)-1)-SEARCH(",",'Special Help Table'!$A897))&amp;" "&amp;LEFT('Special Help Table'!$A897,SEARCH(",",'Special Help Table'!$A897)-1)&amp;";"&amp;RIGHT('Special Help Table'!$A897,LEN('Special Help Table'!$A897)-SEARCH(",",'Special Help Table'!$A897,SEARCH(";",'Special Help Table'!$A897)))&amp;" "&amp;MID('Special Help Table'!$A897,SEARCH("; ",'Special Help Table'!$A897)+2,SEARCH(",",'Special Help Table'!$A897,SEARCH(";",'Special Help Table'!$A897))-SEARCH(";",'Special Help Table'!$A897)-2),AND(LEN('Special Help Table'!$A897)-LEN(SUBSTITUTE('Special Help Table'!$A897,"and ",""))=0,LEN('Special Help Table'!$A897)-LEN(SUBSTITUTE('Special Help Table'!$A897,";",""))=0),'Special Help Table'!$A897,AND(LEN('Special Help Table'!$A897)-LEN(SUBSTITUTE('Special Help Table'!$A897,",","")=1),LEN('Special Help Table'!$A897)-LEN(SUBSTITUTE('Special Help Table'!$A897," ","")=20),LEN('Special Help Table'!$A897)-LEN(SUBSTITUTE('Special Help Table'!$A897," and",""))=0,LEN('Special Help Table'!$A897)-LEN(SUBSTITUTE('Special Help Table'!$A897,",","",FIND(" ",'Special Help Table'!$A897)+1))=0),RIGHT('Special Help Table'!$A897,LEN('Special Help Table'!$A897)-FIND(", ",'Special Help Table'!$A897))&amp;" "&amp;LEFT('Special Help Table'!$A897,FIND(",",'Special Help Table'!$A897)-1),AND(LEN('Special Help Table'!$A897)-LEN(SUBSTITUTE('Special Help Table'!$A897,"editor",""))=6,LEN('Special Help Table'!$A897)-LEN(SUBSTITUTE('Special Help Table'!$A897,"(",""))=0,LEN('Special Help Table'!$A897)-LEN(SUBSTITUTE('Special Help Table'!$A897,"and",""))=3,LEN('Special Help Table'!$A897)-LEN(SUBSTITUTE('Special Help Table'!$A897,",",""))=1,LEN('Special Help Table'!$A897)-LEN(SUBSTITUTE('Special Help Table'!$A897," ",""))=3),'Special Help Table'!$A897)</f>
        <v>0</v>
      </c>
      <c r="C897" s="4" t="s">
        <v>1591</v>
      </c>
      <c r="D897" s="2"/>
      <c r="E897" s="2" t="s">
        <v>1491</v>
      </c>
      <c r="F897" s="2"/>
      <c r="G897" s="2"/>
      <c r="H897" s="2"/>
      <c r="I897" s="2"/>
      <c r="J897" s="2"/>
      <c r="K897" s="3">
        <v>42675</v>
      </c>
      <c r="L897" s="2"/>
      <c r="M897" s="2" t="s">
        <v>1331</v>
      </c>
      <c r="N897" s="2" t="s">
        <v>1494</v>
      </c>
    </row>
    <row r="898" spans="1:14" ht="15.75" customHeight="1" x14ac:dyDescent="0.35">
      <c r="A898" s="2"/>
      <c r="B898" s="2" cm="1">
        <f t="array" ref="B898">_xlfn.IFS(AND(LEN('Special Help Table'!$A898)-(LEN(SUBSTITUTE('Special Help Table'!$A898,";","")))=0,LEN('Special Help Table'!$A898)-LEN(SUBSTITUTE('Special Help Table'!$A898,",",""))=1,LEN('Special Help Table'!$A898)-LEN(SUBSTITUTE('Special Help Table'!$A898,"and ",""))=0),MID('Special Help Table'!$A898&amp;" "&amp;'Special Help Table'!$A898,SEARCH(", ",'Special Help Table'!$A898)+1,LEN('Special Help Table'!$A898)),AND(LEN('Special Help Table'!$A898)-(LEN(SUBSTITUTE('Special Help Table'!$A898,";","")))=1,LEN('Special Help Table'!$A898)-LEN(SUBSTITUTE('Special Help Table'!$A898,"and ",""))=0),MID('Special Help Table'!$A898,SEARCH(",",'Special Help Table'!$A898)+1,(SEARCH(";",'Special Help Table'!$A898)-1)-SEARCH(",",'Special Help Table'!$A898))&amp;" "&amp;LEFT('Special Help Table'!$A898,SEARCH(",",'Special Help Table'!$A898)-1)&amp;";"&amp;RIGHT('Special Help Table'!$A898,LEN('Special Help Table'!$A898)-SEARCH(",",'Special Help Table'!$A898,SEARCH(";",'Special Help Table'!$A898)))&amp;" "&amp;MID('Special Help Table'!$A898,SEARCH("; ",'Special Help Table'!$A898)+2,SEARCH(",",'Special Help Table'!$A898,SEARCH(";",'Special Help Table'!$A898))-SEARCH(";",'Special Help Table'!$A898)-2),AND(LEN('Special Help Table'!$A898)-LEN(SUBSTITUTE('Special Help Table'!$A898,"and ",""))=0,LEN('Special Help Table'!$A898)-LEN(SUBSTITUTE('Special Help Table'!$A898,";",""))=0),'Special Help Table'!$A898,AND(LEN('Special Help Table'!$A898)-LEN(SUBSTITUTE('Special Help Table'!$A898,",","")=1),LEN('Special Help Table'!$A898)-LEN(SUBSTITUTE('Special Help Table'!$A898," ","")=20),LEN('Special Help Table'!$A898)-LEN(SUBSTITUTE('Special Help Table'!$A898," and",""))=0,LEN('Special Help Table'!$A898)-LEN(SUBSTITUTE('Special Help Table'!$A898,",","",FIND(" ",'Special Help Table'!$A898)+1))=0),RIGHT('Special Help Table'!$A898,LEN('Special Help Table'!$A898)-FIND(", ",'Special Help Table'!$A898))&amp;" "&amp;LEFT('Special Help Table'!$A898,FIND(",",'Special Help Table'!$A898)-1),AND(LEN('Special Help Table'!$A898)-LEN(SUBSTITUTE('Special Help Table'!$A898,"editor",""))=6,LEN('Special Help Table'!$A898)-LEN(SUBSTITUTE('Special Help Table'!$A898,"(",""))=0,LEN('Special Help Table'!$A898)-LEN(SUBSTITUTE('Special Help Table'!$A898,"and",""))=3,LEN('Special Help Table'!$A898)-LEN(SUBSTITUTE('Special Help Table'!$A898,",",""))=1,LEN('Special Help Table'!$A898)-LEN(SUBSTITUTE('Special Help Table'!$A898," ",""))=3),'Special Help Table'!$A898)</f>
        <v>0</v>
      </c>
      <c r="C898" s="4" t="s">
        <v>1592</v>
      </c>
      <c r="D898" s="2"/>
      <c r="E898" s="2" t="s">
        <v>1491</v>
      </c>
      <c r="F898" s="2"/>
      <c r="G898" s="2"/>
      <c r="H898" s="2"/>
      <c r="I898" s="2"/>
      <c r="J898" s="2"/>
      <c r="K898" s="3">
        <v>40056</v>
      </c>
      <c r="L898" s="2"/>
      <c r="M898" s="2"/>
      <c r="N898" s="2" t="s">
        <v>1494</v>
      </c>
    </row>
    <row r="899" spans="1:14" ht="15.75" customHeight="1" x14ac:dyDescent="0.35">
      <c r="A899" s="2"/>
      <c r="B899" s="2" cm="1">
        <f t="array" ref="B899">_xlfn.IFS(AND(LEN('Special Help Table'!$A899)-(LEN(SUBSTITUTE('Special Help Table'!$A899,";","")))=0,LEN('Special Help Table'!$A899)-LEN(SUBSTITUTE('Special Help Table'!$A899,",",""))=1,LEN('Special Help Table'!$A899)-LEN(SUBSTITUTE('Special Help Table'!$A899,"and ",""))=0),MID('Special Help Table'!$A899&amp;" "&amp;'Special Help Table'!$A899,SEARCH(", ",'Special Help Table'!$A899)+1,LEN('Special Help Table'!$A899)),AND(LEN('Special Help Table'!$A899)-(LEN(SUBSTITUTE('Special Help Table'!$A899,";","")))=1,LEN('Special Help Table'!$A899)-LEN(SUBSTITUTE('Special Help Table'!$A899,"and ",""))=0),MID('Special Help Table'!$A899,SEARCH(",",'Special Help Table'!$A899)+1,(SEARCH(";",'Special Help Table'!$A899)-1)-SEARCH(",",'Special Help Table'!$A899))&amp;" "&amp;LEFT('Special Help Table'!$A899,SEARCH(",",'Special Help Table'!$A899)-1)&amp;";"&amp;RIGHT('Special Help Table'!$A899,LEN('Special Help Table'!$A899)-SEARCH(",",'Special Help Table'!$A899,SEARCH(";",'Special Help Table'!$A899)))&amp;" "&amp;MID('Special Help Table'!$A899,SEARCH("; ",'Special Help Table'!$A899)+2,SEARCH(",",'Special Help Table'!$A899,SEARCH(";",'Special Help Table'!$A899))-SEARCH(";",'Special Help Table'!$A899)-2),AND(LEN('Special Help Table'!$A899)-LEN(SUBSTITUTE('Special Help Table'!$A899,"and ",""))=0,LEN('Special Help Table'!$A899)-LEN(SUBSTITUTE('Special Help Table'!$A899,";",""))=0),'Special Help Table'!$A899,AND(LEN('Special Help Table'!$A899)-LEN(SUBSTITUTE('Special Help Table'!$A899,",","")=1),LEN('Special Help Table'!$A899)-LEN(SUBSTITUTE('Special Help Table'!$A899," ","")=20),LEN('Special Help Table'!$A899)-LEN(SUBSTITUTE('Special Help Table'!$A899," and",""))=0,LEN('Special Help Table'!$A899)-LEN(SUBSTITUTE('Special Help Table'!$A899,",","",FIND(" ",'Special Help Table'!$A899)+1))=0),RIGHT('Special Help Table'!$A899,LEN('Special Help Table'!$A899)-FIND(", ",'Special Help Table'!$A899))&amp;" "&amp;LEFT('Special Help Table'!$A899,FIND(",",'Special Help Table'!$A899)-1),AND(LEN('Special Help Table'!$A899)-LEN(SUBSTITUTE('Special Help Table'!$A899,"editor",""))=6,LEN('Special Help Table'!$A899)-LEN(SUBSTITUTE('Special Help Table'!$A899,"(",""))=0,LEN('Special Help Table'!$A899)-LEN(SUBSTITUTE('Special Help Table'!$A899,"and",""))=3,LEN('Special Help Table'!$A899)-LEN(SUBSTITUTE('Special Help Table'!$A899,",",""))=1,LEN('Special Help Table'!$A899)-LEN(SUBSTITUTE('Special Help Table'!$A899," ",""))=3),'Special Help Table'!$A899)</f>
        <v>0</v>
      </c>
      <c r="C899" s="4" t="s">
        <v>1593</v>
      </c>
      <c r="D899" s="2"/>
      <c r="E899" s="2" t="s">
        <v>1491</v>
      </c>
      <c r="F899" s="2"/>
      <c r="G899" s="2"/>
      <c r="H899" s="2"/>
      <c r="I899" s="2"/>
      <c r="J899" s="2"/>
      <c r="K899" s="3">
        <v>44578</v>
      </c>
      <c r="L899" s="2"/>
      <c r="M899" s="2"/>
      <c r="N899" s="2" t="s">
        <v>1494</v>
      </c>
    </row>
    <row r="900" spans="1:14" ht="15.75" customHeight="1" x14ac:dyDescent="0.35">
      <c r="A900" s="2"/>
      <c r="B900" s="2" cm="1">
        <f t="array" ref="B900">_xlfn.IFS(AND(LEN('Special Help Table'!$A900)-(LEN(SUBSTITUTE('Special Help Table'!$A900,";","")))=0,LEN('Special Help Table'!$A900)-LEN(SUBSTITUTE('Special Help Table'!$A900,",",""))=1,LEN('Special Help Table'!$A900)-LEN(SUBSTITUTE('Special Help Table'!$A900,"and ",""))=0),MID('Special Help Table'!$A900&amp;" "&amp;'Special Help Table'!$A900,SEARCH(", ",'Special Help Table'!$A900)+1,LEN('Special Help Table'!$A900)),AND(LEN('Special Help Table'!$A900)-(LEN(SUBSTITUTE('Special Help Table'!$A900,";","")))=1,LEN('Special Help Table'!$A900)-LEN(SUBSTITUTE('Special Help Table'!$A900,"and ",""))=0),MID('Special Help Table'!$A900,SEARCH(",",'Special Help Table'!$A900)+1,(SEARCH(";",'Special Help Table'!$A900)-1)-SEARCH(",",'Special Help Table'!$A900))&amp;" "&amp;LEFT('Special Help Table'!$A900,SEARCH(",",'Special Help Table'!$A900)-1)&amp;";"&amp;RIGHT('Special Help Table'!$A900,LEN('Special Help Table'!$A900)-SEARCH(",",'Special Help Table'!$A900,SEARCH(";",'Special Help Table'!$A900)))&amp;" "&amp;MID('Special Help Table'!$A900,SEARCH("; ",'Special Help Table'!$A900)+2,SEARCH(",",'Special Help Table'!$A900,SEARCH(";",'Special Help Table'!$A900))-SEARCH(";",'Special Help Table'!$A900)-2),AND(LEN('Special Help Table'!$A900)-LEN(SUBSTITUTE('Special Help Table'!$A900,"and ",""))=0,LEN('Special Help Table'!$A900)-LEN(SUBSTITUTE('Special Help Table'!$A900,";",""))=0),'Special Help Table'!$A900,AND(LEN('Special Help Table'!$A900)-LEN(SUBSTITUTE('Special Help Table'!$A900,",","")=1),LEN('Special Help Table'!$A900)-LEN(SUBSTITUTE('Special Help Table'!$A900," ","")=20),LEN('Special Help Table'!$A900)-LEN(SUBSTITUTE('Special Help Table'!$A900," and",""))=0,LEN('Special Help Table'!$A900)-LEN(SUBSTITUTE('Special Help Table'!$A900,",","",FIND(" ",'Special Help Table'!$A900)+1))=0),RIGHT('Special Help Table'!$A900,LEN('Special Help Table'!$A900)-FIND(", ",'Special Help Table'!$A900))&amp;" "&amp;LEFT('Special Help Table'!$A900,FIND(",",'Special Help Table'!$A900)-1),AND(LEN('Special Help Table'!$A900)-LEN(SUBSTITUTE('Special Help Table'!$A900,"editor",""))=6,LEN('Special Help Table'!$A900)-LEN(SUBSTITUTE('Special Help Table'!$A900,"(",""))=0,LEN('Special Help Table'!$A900)-LEN(SUBSTITUTE('Special Help Table'!$A900,"and",""))=3,LEN('Special Help Table'!$A900)-LEN(SUBSTITUTE('Special Help Table'!$A900,",",""))=1,LEN('Special Help Table'!$A900)-LEN(SUBSTITUTE('Special Help Table'!$A900," ",""))=3),'Special Help Table'!$A900)</f>
        <v>0</v>
      </c>
      <c r="C900" s="4" t="s">
        <v>1594</v>
      </c>
      <c r="D900" s="2"/>
      <c r="E900" s="2" t="s">
        <v>1491</v>
      </c>
      <c r="F900" s="2"/>
      <c r="G900" s="2"/>
      <c r="H900" s="2"/>
      <c r="I900" s="2"/>
      <c r="J900" s="2"/>
      <c r="K900" s="3"/>
      <c r="L900" s="2"/>
      <c r="M900" s="2" t="s">
        <v>1088</v>
      </c>
      <c r="N900" s="2" t="s">
        <v>1494</v>
      </c>
    </row>
    <row r="901" spans="1:14" ht="15.75" customHeight="1" x14ac:dyDescent="0.35">
      <c r="A901" s="2"/>
      <c r="B901" s="2" cm="1">
        <f t="array" ref="B901">_xlfn.IFS(AND(LEN('Special Help Table'!$A901)-(LEN(SUBSTITUTE('Special Help Table'!$A901,";","")))=0,LEN('Special Help Table'!$A901)-LEN(SUBSTITUTE('Special Help Table'!$A901,",",""))=1,LEN('Special Help Table'!$A901)-LEN(SUBSTITUTE('Special Help Table'!$A901,"and ",""))=0),MID('Special Help Table'!$A901&amp;" "&amp;'Special Help Table'!$A901,SEARCH(", ",'Special Help Table'!$A901)+1,LEN('Special Help Table'!$A901)),AND(LEN('Special Help Table'!$A901)-(LEN(SUBSTITUTE('Special Help Table'!$A901,";","")))=1,LEN('Special Help Table'!$A901)-LEN(SUBSTITUTE('Special Help Table'!$A901,"and ",""))=0),MID('Special Help Table'!$A901,SEARCH(",",'Special Help Table'!$A901)+1,(SEARCH(";",'Special Help Table'!$A901)-1)-SEARCH(",",'Special Help Table'!$A901))&amp;" "&amp;LEFT('Special Help Table'!$A901,SEARCH(",",'Special Help Table'!$A901)-1)&amp;";"&amp;RIGHT('Special Help Table'!$A901,LEN('Special Help Table'!$A901)-SEARCH(",",'Special Help Table'!$A901,SEARCH(";",'Special Help Table'!$A901)))&amp;" "&amp;MID('Special Help Table'!$A901,SEARCH("; ",'Special Help Table'!$A901)+2,SEARCH(",",'Special Help Table'!$A901,SEARCH(";",'Special Help Table'!$A901))-SEARCH(";",'Special Help Table'!$A901)-2),AND(LEN('Special Help Table'!$A901)-LEN(SUBSTITUTE('Special Help Table'!$A901,"and ",""))=0,LEN('Special Help Table'!$A901)-LEN(SUBSTITUTE('Special Help Table'!$A901,";",""))=0),'Special Help Table'!$A901,AND(LEN('Special Help Table'!$A901)-LEN(SUBSTITUTE('Special Help Table'!$A901,",","")=1),LEN('Special Help Table'!$A901)-LEN(SUBSTITUTE('Special Help Table'!$A901," ","")=20),LEN('Special Help Table'!$A901)-LEN(SUBSTITUTE('Special Help Table'!$A901," and",""))=0,LEN('Special Help Table'!$A901)-LEN(SUBSTITUTE('Special Help Table'!$A901,",","",FIND(" ",'Special Help Table'!$A901)+1))=0),RIGHT('Special Help Table'!$A901,LEN('Special Help Table'!$A901)-FIND(", ",'Special Help Table'!$A901))&amp;" "&amp;LEFT('Special Help Table'!$A901,FIND(",",'Special Help Table'!$A901)-1),AND(LEN('Special Help Table'!$A901)-LEN(SUBSTITUTE('Special Help Table'!$A901,"editor",""))=6,LEN('Special Help Table'!$A901)-LEN(SUBSTITUTE('Special Help Table'!$A901,"(",""))=0,LEN('Special Help Table'!$A901)-LEN(SUBSTITUTE('Special Help Table'!$A901,"and",""))=3,LEN('Special Help Table'!$A901)-LEN(SUBSTITUTE('Special Help Table'!$A901,",",""))=1,LEN('Special Help Table'!$A901)-LEN(SUBSTITUTE('Special Help Table'!$A901," ",""))=3),'Special Help Table'!$A901)</f>
        <v>0</v>
      </c>
      <c r="C901" s="4" t="s">
        <v>1595</v>
      </c>
      <c r="D901" s="2"/>
      <c r="E901" s="2" t="s">
        <v>1491</v>
      </c>
      <c r="F901" s="2"/>
      <c r="G901" s="2"/>
      <c r="H901" s="2"/>
      <c r="I901" s="2"/>
      <c r="J901" s="2"/>
      <c r="K901" s="3">
        <v>44578</v>
      </c>
      <c r="L901" s="2"/>
      <c r="M901" s="2"/>
      <c r="N901" s="2" t="s">
        <v>1494</v>
      </c>
    </row>
    <row r="902" spans="1:14" ht="15.75" customHeight="1" x14ac:dyDescent="0.35">
      <c r="A902" s="2"/>
      <c r="B902" s="2" cm="1">
        <f t="array" ref="B902">_xlfn.IFS(AND(LEN('Special Help Table'!$A902)-(LEN(SUBSTITUTE('Special Help Table'!$A902,";","")))=0,LEN('Special Help Table'!$A902)-LEN(SUBSTITUTE('Special Help Table'!$A902,",",""))=1,LEN('Special Help Table'!$A902)-LEN(SUBSTITUTE('Special Help Table'!$A902,"and ",""))=0),MID('Special Help Table'!$A902&amp;" "&amp;'Special Help Table'!$A902,SEARCH(", ",'Special Help Table'!$A902)+1,LEN('Special Help Table'!$A902)),AND(LEN('Special Help Table'!$A902)-(LEN(SUBSTITUTE('Special Help Table'!$A902,";","")))=1,LEN('Special Help Table'!$A902)-LEN(SUBSTITUTE('Special Help Table'!$A902,"and ",""))=0),MID('Special Help Table'!$A902,SEARCH(",",'Special Help Table'!$A902)+1,(SEARCH(";",'Special Help Table'!$A902)-1)-SEARCH(",",'Special Help Table'!$A902))&amp;" "&amp;LEFT('Special Help Table'!$A902,SEARCH(",",'Special Help Table'!$A902)-1)&amp;";"&amp;RIGHT('Special Help Table'!$A902,LEN('Special Help Table'!$A902)-SEARCH(",",'Special Help Table'!$A902,SEARCH(";",'Special Help Table'!$A902)))&amp;" "&amp;MID('Special Help Table'!$A902,SEARCH("; ",'Special Help Table'!$A902)+2,SEARCH(",",'Special Help Table'!$A902,SEARCH(";",'Special Help Table'!$A902))-SEARCH(";",'Special Help Table'!$A902)-2),AND(LEN('Special Help Table'!$A902)-LEN(SUBSTITUTE('Special Help Table'!$A902,"and ",""))=0,LEN('Special Help Table'!$A902)-LEN(SUBSTITUTE('Special Help Table'!$A902,";",""))=0),'Special Help Table'!$A902,AND(LEN('Special Help Table'!$A902)-LEN(SUBSTITUTE('Special Help Table'!$A902,",","")=1),LEN('Special Help Table'!$A902)-LEN(SUBSTITUTE('Special Help Table'!$A902," ","")=20),LEN('Special Help Table'!$A902)-LEN(SUBSTITUTE('Special Help Table'!$A902," and",""))=0,LEN('Special Help Table'!$A902)-LEN(SUBSTITUTE('Special Help Table'!$A902,",","",FIND(" ",'Special Help Table'!$A902)+1))=0),RIGHT('Special Help Table'!$A902,LEN('Special Help Table'!$A902)-FIND(", ",'Special Help Table'!$A902))&amp;" "&amp;LEFT('Special Help Table'!$A902,FIND(",",'Special Help Table'!$A902)-1),AND(LEN('Special Help Table'!$A902)-LEN(SUBSTITUTE('Special Help Table'!$A902,"editor",""))=6,LEN('Special Help Table'!$A902)-LEN(SUBSTITUTE('Special Help Table'!$A902,"(",""))=0,LEN('Special Help Table'!$A902)-LEN(SUBSTITUTE('Special Help Table'!$A902,"and",""))=3,LEN('Special Help Table'!$A902)-LEN(SUBSTITUTE('Special Help Table'!$A902,",",""))=1,LEN('Special Help Table'!$A902)-LEN(SUBSTITUTE('Special Help Table'!$A902," ",""))=3),'Special Help Table'!$A902)</f>
        <v>0</v>
      </c>
      <c r="C902" s="4" t="s">
        <v>1596</v>
      </c>
      <c r="D902" s="2"/>
      <c r="E902" s="2" t="s">
        <v>1491</v>
      </c>
      <c r="F902" s="2"/>
      <c r="G902" s="2"/>
      <c r="H902" s="2"/>
      <c r="I902" s="2"/>
      <c r="J902" s="2"/>
      <c r="K902" s="3">
        <v>44578</v>
      </c>
      <c r="L902" s="2"/>
      <c r="M902" s="2"/>
      <c r="N902" s="2" t="s">
        <v>1494</v>
      </c>
    </row>
    <row r="903" spans="1:14" ht="15.75" customHeight="1" x14ac:dyDescent="0.35">
      <c r="A903" s="2"/>
      <c r="B903" s="2" cm="1">
        <f t="array" ref="B903">_xlfn.IFS(AND(LEN('Special Help Table'!$A903)-(LEN(SUBSTITUTE('Special Help Table'!$A903,";","")))=0,LEN('Special Help Table'!$A903)-LEN(SUBSTITUTE('Special Help Table'!$A903,",",""))=1,LEN('Special Help Table'!$A903)-LEN(SUBSTITUTE('Special Help Table'!$A903,"and ",""))=0),MID('Special Help Table'!$A903&amp;" "&amp;'Special Help Table'!$A903,SEARCH(", ",'Special Help Table'!$A903)+1,LEN('Special Help Table'!$A903)),AND(LEN('Special Help Table'!$A903)-(LEN(SUBSTITUTE('Special Help Table'!$A903,";","")))=1,LEN('Special Help Table'!$A903)-LEN(SUBSTITUTE('Special Help Table'!$A903,"and ",""))=0),MID('Special Help Table'!$A903,SEARCH(",",'Special Help Table'!$A903)+1,(SEARCH(";",'Special Help Table'!$A903)-1)-SEARCH(",",'Special Help Table'!$A903))&amp;" "&amp;LEFT('Special Help Table'!$A903,SEARCH(",",'Special Help Table'!$A903)-1)&amp;";"&amp;RIGHT('Special Help Table'!$A903,LEN('Special Help Table'!$A903)-SEARCH(",",'Special Help Table'!$A903,SEARCH(";",'Special Help Table'!$A903)))&amp;" "&amp;MID('Special Help Table'!$A903,SEARCH("; ",'Special Help Table'!$A903)+2,SEARCH(",",'Special Help Table'!$A903,SEARCH(";",'Special Help Table'!$A903))-SEARCH(";",'Special Help Table'!$A903)-2),AND(LEN('Special Help Table'!$A903)-LEN(SUBSTITUTE('Special Help Table'!$A903,"and ",""))=0,LEN('Special Help Table'!$A903)-LEN(SUBSTITUTE('Special Help Table'!$A903,";",""))=0),'Special Help Table'!$A903,AND(LEN('Special Help Table'!$A903)-LEN(SUBSTITUTE('Special Help Table'!$A903,",","")=1),LEN('Special Help Table'!$A903)-LEN(SUBSTITUTE('Special Help Table'!$A903," ","")=20),LEN('Special Help Table'!$A903)-LEN(SUBSTITUTE('Special Help Table'!$A903," and",""))=0,LEN('Special Help Table'!$A903)-LEN(SUBSTITUTE('Special Help Table'!$A903,",","",FIND(" ",'Special Help Table'!$A903)+1))=0),RIGHT('Special Help Table'!$A903,LEN('Special Help Table'!$A903)-FIND(", ",'Special Help Table'!$A903))&amp;" "&amp;LEFT('Special Help Table'!$A903,FIND(",",'Special Help Table'!$A903)-1),AND(LEN('Special Help Table'!$A903)-LEN(SUBSTITUTE('Special Help Table'!$A903,"editor",""))=6,LEN('Special Help Table'!$A903)-LEN(SUBSTITUTE('Special Help Table'!$A903,"(",""))=0,LEN('Special Help Table'!$A903)-LEN(SUBSTITUTE('Special Help Table'!$A903,"and",""))=3,LEN('Special Help Table'!$A903)-LEN(SUBSTITUTE('Special Help Table'!$A903,",",""))=1,LEN('Special Help Table'!$A903)-LEN(SUBSTITUTE('Special Help Table'!$A903," ",""))=3),'Special Help Table'!$A903)</f>
        <v>0</v>
      </c>
      <c r="C903" s="4" t="s">
        <v>1597</v>
      </c>
      <c r="D903" s="2"/>
      <c r="E903" s="2" t="s">
        <v>1491</v>
      </c>
      <c r="F903" s="2"/>
      <c r="G903" s="2"/>
      <c r="H903" s="2"/>
      <c r="I903" s="2"/>
      <c r="J903" s="2"/>
      <c r="K903" s="3">
        <v>42019</v>
      </c>
      <c r="L903" s="2"/>
      <c r="M903" s="2"/>
      <c r="N903" s="2" t="s">
        <v>1494</v>
      </c>
    </row>
    <row r="904" spans="1:14" ht="15.75" customHeight="1" x14ac:dyDescent="0.35">
      <c r="A904" s="2"/>
      <c r="B904" s="2" cm="1">
        <f t="array" ref="B904">_xlfn.IFS(AND(LEN('Special Help Table'!$A904)-(LEN(SUBSTITUTE('Special Help Table'!$A904,";","")))=0,LEN('Special Help Table'!$A904)-LEN(SUBSTITUTE('Special Help Table'!$A904,",",""))=1,LEN('Special Help Table'!$A904)-LEN(SUBSTITUTE('Special Help Table'!$A904,"and ",""))=0),MID('Special Help Table'!$A904&amp;" "&amp;'Special Help Table'!$A904,SEARCH(", ",'Special Help Table'!$A904)+1,LEN('Special Help Table'!$A904)),AND(LEN('Special Help Table'!$A904)-(LEN(SUBSTITUTE('Special Help Table'!$A904,";","")))=1,LEN('Special Help Table'!$A904)-LEN(SUBSTITUTE('Special Help Table'!$A904,"and ",""))=0),MID('Special Help Table'!$A904,SEARCH(",",'Special Help Table'!$A904)+1,(SEARCH(";",'Special Help Table'!$A904)-1)-SEARCH(",",'Special Help Table'!$A904))&amp;" "&amp;LEFT('Special Help Table'!$A904,SEARCH(",",'Special Help Table'!$A904)-1)&amp;";"&amp;RIGHT('Special Help Table'!$A904,LEN('Special Help Table'!$A904)-SEARCH(",",'Special Help Table'!$A904,SEARCH(";",'Special Help Table'!$A904)))&amp;" "&amp;MID('Special Help Table'!$A904,SEARCH("; ",'Special Help Table'!$A904)+2,SEARCH(",",'Special Help Table'!$A904,SEARCH(";",'Special Help Table'!$A904))-SEARCH(";",'Special Help Table'!$A904)-2),AND(LEN('Special Help Table'!$A904)-LEN(SUBSTITUTE('Special Help Table'!$A904,"and ",""))=0,LEN('Special Help Table'!$A904)-LEN(SUBSTITUTE('Special Help Table'!$A904,";",""))=0),'Special Help Table'!$A904,AND(LEN('Special Help Table'!$A904)-LEN(SUBSTITUTE('Special Help Table'!$A904,",","")=1),LEN('Special Help Table'!$A904)-LEN(SUBSTITUTE('Special Help Table'!$A904," ","")=20),LEN('Special Help Table'!$A904)-LEN(SUBSTITUTE('Special Help Table'!$A904," and",""))=0,LEN('Special Help Table'!$A904)-LEN(SUBSTITUTE('Special Help Table'!$A904,",","",FIND(" ",'Special Help Table'!$A904)+1))=0),RIGHT('Special Help Table'!$A904,LEN('Special Help Table'!$A904)-FIND(", ",'Special Help Table'!$A904))&amp;" "&amp;LEFT('Special Help Table'!$A904,FIND(",",'Special Help Table'!$A904)-1),AND(LEN('Special Help Table'!$A904)-LEN(SUBSTITUTE('Special Help Table'!$A904,"editor",""))=6,LEN('Special Help Table'!$A904)-LEN(SUBSTITUTE('Special Help Table'!$A904,"(",""))=0,LEN('Special Help Table'!$A904)-LEN(SUBSTITUTE('Special Help Table'!$A904,"and",""))=3,LEN('Special Help Table'!$A904)-LEN(SUBSTITUTE('Special Help Table'!$A904,",",""))=1,LEN('Special Help Table'!$A904)-LEN(SUBSTITUTE('Special Help Table'!$A904," ",""))=3),'Special Help Table'!$A904)</f>
        <v>0</v>
      </c>
      <c r="C904" s="4" t="s">
        <v>1598</v>
      </c>
      <c r="D904" s="2"/>
      <c r="E904" s="2" t="s">
        <v>1491</v>
      </c>
      <c r="F904" s="2"/>
      <c r="G904" s="2"/>
      <c r="H904" s="2"/>
      <c r="I904" s="2"/>
      <c r="J904" s="2"/>
      <c r="K904" s="3">
        <v>41011</v>
      </c>
      <c r="L904" s="2"/>
      <c r="M904" s="2"/>
      <c r="N904" s="2" t="s">
        <v>1494</v>
      </c>
    </row>
    <row r="905" spans="1:14" ht="15.75" customHeight="1" x14ac:dyDescent="0.35">
      <c r="A905" s="2"/>
      <c r="B905" s="2" cm="1">
        <f t="array" ref="B905">_xlfn.IFS(AND(LEN('Special Help Table'!$A905)-(LEN(SUBSTITUTE('Special Help Table'!$A905,";","")))=0,LEN('Special Help Table'!$A905)-LEN(SUBSTITUTE('Special Help Table'!$A905,",",""))=1,LEN('Special Help Table'!$A905)-LEN(SUBSTITUTE('Special Help Table'!$A905,"and ",""))=0),MID('Special Help Table'!$A905&amp;" "&amp;'Special Help Table'!$A905,SEARCH(", ",'Special Help Table'!$A905)+1,LEN('Special Help Table'!$A905)),AND(LEN('Special Help Table'!$A905)-(LEN(SUBSTITUTE('Special Help Table'!$A905,";","")))=1,LEN('Special Help Table'!$A905)-LEN(SUBSTITUTE('Special Help Table'!$A905,"and ",""))=0),MID('Special Help Table'!$A905,SEARCH(",",'Special Help Table'!$A905)+1,(SEARCH(";",'Special Help Table'!$A905)-1)-SEARCH(",",'Special Help Table'!$A905))&amp;" "&amp;LEFT('Special Help Table'!$A905,SEARCH(",",'Special Help Table'!$A905)-1)&amp;";"&amp;RIGHT('Special Help Table'!$A905,LEN('Special Help Table'!$A905)-SEARCH(",",'Special Help Table'!$A905,SEARCH(";",'Special Help Table'!$A905)))&amp;" "&amp;MID('Special Help Table'!$A905,SEARCH("; ",'Special Help Table'!$A905)+2,SEARCH(",",'Special Help Table'!$A905,SEARCH(";",'Special Help Table'!$A905))-SEARCH(";",'Special Help Table'!$A905)-2),AND(LEN('Special Help Table'!$A905)-LEN(SUBSTITUTE('Special Help Table'!$A905,"and ",""))=0,LEN('Special Help Table'!$A905)-LEN(SUBSTITUTE('Special Help Table'!$A905,";",""))=0),'Special Help Table'!$A905,AND(LEN('Special Help Table'!$A905)-LEN(SUBSTITUTE('Special Help Table'!$A905,",","")=1),LEN('Special Help Table'!$A905)-LEN(SUBSTITUTE('Special Help Table'!$A905," ","")=20),LEN('Special Help Table'!$A905)-LEN(SUBSTITUTE('Special Help Table'!$A905," and",""))=0,LEN('Special Help Table'!$A905)-LEN(SUBSTITUTE('Special Help Table'!$A905,",","",FIND(" ",'Special Help Table'!$A905)+1))=0),RIGHT('Special Help Table'!$A905,LEN('Special Help Table'!$A905)-FIND(", ",'Special Help Table'!$A905))&amp;" "&amp;LEFT('Special Help Table'!$A905,FIND(",",'Special Help Table'!$A905)-1),AND(LEN('Special Help Table'!$A905)-LEN(SUBSTITUTE('Special Help Table'!$A905,"editor",""))=6,LEN('Special Help Table'!$A905)-LEN(SUBSTITUTE('Special Help Table'!$A905,"(",""))=0,LEN('Special Help Table'!$A905)-LEN(SUBSTITUTE('Special Help Table'!$A905,"and",""))=3,LEN('Special Help Table'!$A905)-LEN(SUBSTITUTE('Special Help Table'!$A905,",",""))=1,LEN('Special Help Table'!$A905)-LEN(SUBSTITUTE('Special Help Table'!$A905," ",""))=3),'Special Help Table'!$A905)</f>
        <v>0</v>
      </c>
      <c r="C905" s="4" t="s">
        <v>1599</v>
      </c>
      <c r="D905" s="2"/>
      <c r="E905" s="2" t="s">
        <v>1491</v>
      </c>
      <c r="F905" s="2"/>
      <c r="G905" s="2"/>
      <c r="H905" s="2"/>
      <c r="I905" s="2"/>
      <c r="J905" s="2"/>
      <c r="K905" s="3"/>
      <c r="L905" s="2"/>
      <c r="M905" s="2"/>
      <c r="N905" s="2" t="s">
        <v>1494</v>
      </c>
    </row>
    <row r="906" spans="1:14" ht="15.75" customHeight="1" x14ac:dyDescent="0.35">
      <c r="A906" s="2"/>
      <c r="B906" s="2" cm="1">
        <f t="array" ref="B906">_xlfn.IFS(AND(LEN('Special Help Table'!$A906)-(LEN(SUBSTITUTE('Special Help Table'!$A906,";","")))=0,LEN('Special Help Table'!$A906)-LEN(SUBSTITUTE('Special Help Table'!$A906,",",""))=1,LEN('Special Help Table'!$A906)-LEN(SUBSTITUTE('Special Help Table'!$A906,"and ",""))=0),MID('Special Help Table'!$A906&amp;" "&amp;'Special Help Table'!$A906,SEARCH(", ",'Special Help Table'!$A906)+1,LEN('Special Help Table'!$A906)),AND(LEN('Special Help Table'!$A906)-(LEN(SUBSTITUTE('Special Help Table'!$A906,";","")))=1,LEN('Special Help Table'!$A906)-LEN(SUBSTITUTE('Special Help Table'!$A906,"and ",""))=0),MID('Special Help Table'!$A906,SEARCH(",",'Special Help Table'!$A906)+1,(SEARCH(";",'Special Help Table'!$A906)-1)-SEARCH(",",'Special Help Table'!$A906))&amp;" "&amp;LEFT('Special Help Table'!$A906,SEARCH(",",'Special Help Table'!$A906)-1)&amp;";"&amp;RIGHT('Special Help Table'!$A906,LEN('Special Help Table'!$A906)-SEARCH(",",'Special Help Table'!$A906,SEARCH(";",'Special Help Table'!$A906)))&amp;" "&amp;MID('Special Help Table'!$A906,SEARCH("; ",'Special Help Table'!$A906)+2,SEARCH(",",'Special Help Table'!$A906,SEARCH(";",'Special Help Table'!$A906))-SEARCH(";",'Special Help Table'!$A906)-2),AND(LEN('Special Help Table'!$A906)-LEN(SUBSTITUTE('Special Help Table'!$A906,"and ",""))=0,LEN('Special Help Table'!$A906)-LEN(SUBSTITUTE('Special Help Table'!$A906,";",""))=0),'Special Help Table'!$A906,AND(LEN('Special Help Table'!$A906)-LEN(SUBSTITUTE('Special Help Table'!$A906,",","")=1),LEN('Special Help Table'!$A906)-LEN(SUBSTITUTE('Special Help Table'!$A906," ","")=20),LEN('Special Help Table'!$A906)-LEN(SUBSTITUTE('Special Help Table'!$A906," and",""))=0,LEN('Special Help Table'!$A906)-LEN(SUBSTITUTE('Special Help Table'!$A906,",","",FIND(" ",'Special Help Table'!$A906)+1))=0),RIGHT('Special Help Table'!$A906,LEN('Special Help Table'!$A906)-FIND(", ",'Special Help Table'!$A906))&amp;" "&amp;LEFT('Special Help Table'!$A906,FIND(",",'Special Help Table'!$A906)-1),AND(LEN('Special Help Table'!$A906)-LEN(SUBSTITUTE('Special Help Table'!$A906,"editor",""))=6,LEN('Special Help Table'!$A906)-LEN(SUBSTITUTE('Special Help Table'!$A906,"(",""))=0,LEN('Special Help Table'!$A906)-LEN(SUBSTITUTE('Special Help Table'!$A906,"and",""))=3,LEN('Special Help Table'!$A906)-LEN(SUBSTITUTE('Special Help Table'!$A906,",",""))=1,LEN('Special Help Table'!$A906)-LEN(SUBSTITUTE('Special Help Table'!$A906," ",""))=3),'Special Help Table'!$A906)</f>
        <v>0</v>
      </c>
      <c r="C906" s="4" t="s">
        <v>1600</v>
      </c>
      <c r="D906" s="2"/>
      <c r="E906" s="2" t="s">
        <v>1491</v>
      </c>
      <c r="F906" s="2"/>
      <c r="G906" s="2"/>
      <c r="H906" s="2"/>
      <c r="I906" s="2"/>
      <c r="J906" s="2"/>
      <c r="K906" s="3">
        <v>44578</v>
      </c>
      <c r="L906" s="2"/>
      <c r="M906" s="2"/>
      <c r="N906" s="2" t="s">
        <v>1494</v>
      </c>
    </row>
    <row r="907" spans="1:14" ht="15.75" customHeight="1" x14ac:dyDescent="0.35">
      <c r="A907" s="2"/>
      <c r="B907" s="2" cm="1">
        <f t="array" ref="B907">_xlfn.IFS(AND(LEN('Special Help Table'!$A907)-(LEN(SUBSTITUTE('Special Help Table'!$A907,";","")))=0,LEN('Special Help Table'!$A907)-LEN(SUBSTITUTE('Special Help Table'!$A907,",",""))=1,LEN('Special Help Table'!$A907)-LEN(SUBSTITUTE('Special Help Table'!$A907,"and ",""))=0),MID('Special Help Table'!$A907&amp;" "&amp;'Special Help Table'!$A907,SEARCH(", ",'Special Help Table'!$A907)+1,LEN('Special Help Table'!$A907)),AND(LEN('Special Help Table'!$A907)-(LEN(SUBSTITUTE('Special Help Table'!$A907,";","")))=1,LEN('Special Help Table'!$A907)-LEN(SUBSTITUTE('Special Help Table'!$A907,"and ",""))=0),MID('Special Help Table'!$A907,SEARCH(",",'Special Help Table'!$A907)+1,(SEARCH(";",'Special Help Table'!$A907)-1)-SEARCH(",",'Special Help Table'!$A907))&amp;" "&amp;LEFT('Special Help Table'!$A907,SEARCH(",",'Special Help Table'!$A907)-1)&amp;";"&amp;RIGHT('Special Help Table'!$A907,LEN('Special Help Table'!$A907)-SEARCH(",",'Special Help Table'!$A907,SEARCH(";",'Special Help Table'!$A907)))&amp;" "&amp;MID('Special Help Table'!$A907,SEARCH("; ",'Special Help Table'!$A907)+2,SEARCH(",",'Special Help Table'!$A907,SEARCH(";",'Special Help Table'!$A907))-SEARCH(";",'Special Help Table'!$A907)-2),AND(LEN('Special Help Table'!$A907)-LEN(SUBSTITUTE('Special Help Table'!$A907,"and ",""))=0,LEN('Special Help Table'!$A907)-LEN(SUBSTITUTE('Special Help Table'!$A907,";",""))=0),'Special Help Table'!$A907,AND(LEN('Special Help Table'!$A907)-LEN(SUBSTITUTE('Special Help Table'!$A907,",","")=1),LEN('Special Help Table'!$A907)-LEN(SUBSTITUTE('Special Help Table'!$A907," ","")=20),LEN('Special Help Table'!$A907)-LEN(SUBSTITUTE('Special Help Table'!$A907," and",""))=0,LEN('Special Help Table'!$A907)-LEN(SUBSTITUTE('Special Help Table'!$A907,",","",FIND(" ",'Special Help Table'!$A907)+1))=0),RIGHT('Special Help Table'!$A907,LEN('Special Help Table'!$A907)-FIND(", ",'Special Help Table'!$A907))&amp;" "&amp;LEFT('Special Help Table'!$A907,FIND(",",'Special Help Table'!$A907)-1),AND(LEN('Special Help Table'!$A907)-LEN(SUBSTITUTE('Special Help Table'!$A907,"editor",""))=6,LEN('Special Help Table'!$A907)-LEN(SUBSTITUTE('Special Help Table'!$A907,"(",""))=0,LEN('Special Help Table'!$A907)-LEN(SUBSTITUTE('Special Help Table'!$A907,"and",""))=3,LEN('Special Help Table'!$A907)-LEN(SUBSTITUTE('Special Help Table'!$A907,",",""))=1,LEN('Special Help Table'!$A907)-LEN(SUBSTITUTE('Special Help Table'!$A907," ",""))=3),'Special Help Table'!$A907)</f>
        <v>0</v>
      </c>
      <c r="C907" s="4" t="s">
        <v>1601</v>
      </c>
      <c r="D907" s="2"/>
      <c r="E907" s="2" t="s">
        <v>1491</v>
      </c>
      <c r="F907" s="2"/>
      <c r="G907" s="2"/>
      <c r="H907" s="2"/>
      <c r="I907" s="2"/>
      <c r="J907" s="2"/>
      <c r="K907" s="3">
        <v>40188</v>
      </c>
      <c r="L907" s="2"/>
      <c r="M907" s="2"/>
      <c r="N907" s="2" t="s">
        <v>1494</v>
      </c>
    </row>
    <row r="908" spans="1:14" ht="15.75" customHeight="1" x14ac:dyDescent="0.35">
      <c r="A908" s="2"/>
      <c r="B908" s="2" cm="1">
        <f t="array" ref="B908">_xlfn.IFS(AND(LEN('Special Help Table'!$A908)-(LEN(SUBSTITUTE('Special Help Table'!$A908,";","")))=0,LEN('Special Help Table'!$A908)-LEN(SUBSTITUTE('Special Help Table'!$A908,",",""))=1,LEN('Special Help Table'!$A908)-LEN(SUBSTITUTE('Special Help Table'!$A908,"and ",""))=0),MID('Special Help Table'!$A908&amp;" "&amp;'Special Help Table'!$A908,SEARCH(", ",'Special Help Table'!$A908)+1,LEN('Special Help Table'!$A908)),AND(LEN('Special Help Table'!$A908)-(LEN(SUBSTITUTE('Special Help Table'!$A908,";","")))=1,LEN('Special Help Table'!$A908)-LEN(SUBSTITUTE('Special Help Table'!$A908,"and ",""))=0),MID('Special Help Table'!$A908,SEARCH(",",'Special Help Table'!$A908)+1,(SEARCH(";",'Special Help Table'!$A908)-1)-SEARCH(",",'Special Help Table'!$A908))&amp;" "&amp;LEFT('Special Help Table'!$A908,SEARCH(",",'Special Help Table'!$A908)-1)&amp;";"&amp;RIGHT('Special Help Table'!$A908,LEN('Special Help Table'!$A908)-SEARCH(",",'Special Help Table'!$A908,SEARCH(";",'Special Help Table'!$A908)))&amp;" "&amp;MID('Special Help Table'!$A908,SEARCH("; ",'Special Help Table'!$A908)+2,SEARCH(",",'Special Help Table'!$A908,SEARCH(";",'Special Help Table'!$A908))-SEARCH(";",'Special Help Table'!$A908)-2),AND(LEN('Special Help Table'!$A908)-LEN(SUBSTITUTE('Special Help Table'!$A908,"and ",""))=0,LEN('Special Help Table'!$A908)-LEN(SUBSTITUTE('Special Help Table'!$A908,";",""))=0),'Special Help Table'!$A908,AND(LEN('Special Help Table'!$A908)-LEN(SUBSTITUTE('Special Help Table'!$A908,",","")=1),LEN('Special Help Table'!$A908)-LEN(SUBSTITUTE('Special Help Table'!$A908," ","")=20),LEN('Special Help Table'!$A908)-LEN(SUBSTITUTE('Special Help Table'!$A908," and",""))=0,LEN('Special Help Table'!$A908)-LEN(SUBSTITUTE('Special Help Table'!$A908,",","",FIND(" ",'Special Help Table'!$A908)+1))=0),RIGHT('Special Help Table'!$A908,LEN('Special Help Table'!$A908)-FIND(", ",'Special Help Table'!$A908))&amp;" "&amp;LEFT('Special Help Table'!$A908,FIND(",",'Special Help Table'!$A908)-1),AND(LEN('Special Help Table'!$A908)-LEN(SUBSTITUTE('Special Help Table'!$A908,"editor",""))=6,LEN('Special Help Table'!$A908)-LEN(SUBSTITUTE('Special Help Table'!$A908,"(",""))=0,LEN('Special Help Table'!$A908)-LEN(SUBSTITUTE('Special Help Table'!$A908,"and",""))=3,LEN('Special Help Table'!$A908)-LEN(SUBSTITUTE('Special Help Table'!$A908,",",""))=1,LEN('Special Help Table'!$A908)-LEN(SUBSTITUTE('Special Help Table'!$A908," ",""))=3),'Special Help Table'!$A908)</f>
        <v>0</v>
      </c>
      <c r="C908" s="4" t="s">
        <v>1308</v>
      </c>
      <c r="D908" s="2"/>
      <c r="E908" s="2" t="s">
        <v>1491</v>
      </c>
      <c r="F908" s="2"/>
      <c r="G908" s="2"/>
      <c r="H908" s="2"/>
      <c r="I908" s="2"/>
      <c r="J908" s="2"/>
      <c r="K908" s="3">
        <v>40188</v>
      </c>
      <c r="L908" s="2"/>
      <c r="M908" s="2"/>
      <c r="N908" s="2" t="s">
        <v>1494</v>
      </c>
    </row>
    <row r="909" spans="1:14" ht="15.75" customHeight="1" x14ac:dyDescent="0.35">
      <c r="A909" s="2"/>
      <c r="B909" s="2" cm="1">
        <f t="array" ref="B909">_xlfn.IFS(AND(LEN('Special Help Table'!$A909)-(LEN(SUBSTITUTE('Special Help Table'!$A909,";","")))=0,LEN('Special Help Table'!$A909)-LEN(SUBSTITUTE('Special Help Table'!$A909,",",""))=1,LEN('Special Help Table'!$A909)-LEN(SUBSTITUTE('Special Help Table'!$A909,"and ",""))=0),MID('Special Help Table'!$A909&amp;" "&amp;'Special Help Table'!$A909,SEARCH(", ",'Special Help Table'!$A909)+1,LEN('Special Help Table'!$A909)),AND(LEN('Special Help Table'!$A909)-(LEN(SUBSTITUTE('Special Help Table'!$A909,";","")))=1,LEN('Special Help Table'!$A909)-LEN(SUBSTITUTE('Special Help Table'!$A909,"and ",""))=0),MID('Special Help Table'!$A909,SEARCH(",",'Special Help Table'!$A909)+1,(SEARCH(";",'Special Help Table'!$A909)-1)-SEARCH(",",'Special Help Table'!$A909))&amp;" "&amp;LEFT('Special Help Table'!$A909,SEARCH(",",'Special Help Table'!$A909)-1)&amp;";"&amp;RIGHT('Special Help Table'!$A909,LEN('Special Help Table'!$A909)-SEARCH(",",'Special Help Table'!$A909,SEARCH(";",'Special Help Table'!$A909)))&amp;" "&amp;MID('Special Help Table'!$A909,SEARCH("; ",'Special Help Table'!$A909)+2,SEARCH(",",'Special Help Table'!$A909,SEARCH(";",'Special Help Table'!$A909))-SEARCH(";",'Special Help Table'!$A909)-2),AND(LEN('Special Help Table'!$A909)-LEN(SUBSTITUTE('Special Help Table'!$A909,"and ",""))=0,LEN('Special Help Table'!$A909)-LEN(SUBSTITUTE('Special Help Table'!$A909,";",""))=0),'Special Help Table'!$A909,AND(LEN('Special Help Table'!$A909)-LEN(SUBSTITUTE('Special Help Table'!$A909,",","")=1),LEN('Special Help Table'!$A909)-LEN(SUBSTITUTE('Special Help Table'!$A909," ","")=20),LEN('Special Help Table'!$A909)-LEN(SUBSTITUTE('Special Help Table'!$A909," and",""))=0,LEN('Special Help Table'!$A909)-LEN(SUBSTITUTE('Special Help Table'!$A909,",","",FIND(" ",'Special Help Table'!$A909)+1))=0),RIGHT('Special Help Table'!$A909,LEN('Special Help Table'!$A909)-FIND(", ",'Special Help Table'!$A909))&amp;" "&amp;LEFT('Special Help Table'!$A909,FIND(",",'Special Help Table'!$A909)-1),AND(LEN('Special Help Table'!$A909)-LEN(SUBSTITUTE('Special Help Table'!$A909,"editor",""))=6,LEN('Special Help Table'!$A909)-LEN(SUBSTITUTE('Special Help Table'!$A909,"(",""))=0,LEN('Special Help Table'!$A909)-LEN(SUBSTITUTE('Special Help Table'!$A909,"and",""))=3,LEN('Special Help Table'!$A909)-LEN(SUBSTITUTE('Special Help Table'!$A909,",",""))=1,LEN('Special Help Table'!$A909)-LEN(SUBSTITUTE('Special Help Table'!$A909," ",""))=3),'Special Help Table'!$A909)</f>
        <v>0</v>
      </c>
      <c r="C909" s="4" t="s">
        <v>1215</v>
      </c>
      <c r="D909" s="2"/>
      <c r="E909" s="2" t="s">
        <v>1491</v>
      </c>
      <c r="F909" s="2"/>
      <c r="G909" s="2"/>
      <c r="H909" s="2"/>
      <c r="I909" s="2"/>
      <c r="J909" s="2"/>
      <c r="K909" s="3">
        <v>40034</v>
      </c>
      <c r="L909" s="2" t="s">
        <v>1602</v>
      </c>
      <c r="M909" s="2" t="s">
        <v>1603</v>
      </c>
      <c r="N909" s="2" t="s">
        <v>1494</v>
      </c>
    </row>
    <row r="910" spans="1:14" ht="15.75" customHeight="1" x14ac:dyDescent="0.35">
      <c r="A910" s="2"/>
      <c r="B910" s="2" cm="1">
        <f t="array" ref="B910">_xlfn.IFS(AND(LEN('Special Help Table'!$A910)-(LEN(SUBSTITUTE('Special Help Table'!$A910,";","")))=0,LEN('Special Help Table'!$A910)-LEN(SUBSTITUTE('Special Help Table'!$A910,",",""))=1,LEN('Special Help Table'!$A910)-LEN(SUBSTITUTE('Special Help Table'!$A910,"and ",""))=0),MID('Special Help Table'!$A910&amp;" "&amp;'Special Help Table'!$A910,SEARCH(", ",'Special Help Table'!$A910)+1,LEN('Special Help Table'!$A910)),AND(LEN('Special Help Table'!$A910)-(LEN(SUBSTITUTE('Special Help Table'!$A910,";","")))=1,LEN('Special Help Table'!$A910)-LEN(SUBSTITUTE('Special Help Table'!$A910,"and ",""))=0),MID('Special Help Table'!$A910,SEARCH(",",'Special Help Table'!$A910)+1,(SEARCH(";",'Special Help Table'!$A910)-1)-SEARCH(",",'Special Help Table'!$A910))&amp;" "&amp;LEFT('Special Help Table'!$A910,SEARCH(",",'Special Help Table'!$A910)-1)&amp;";"&amp;RIGHT('Special Help Table'!$A910,LEN('Special Help Table'!$A910)-SEARCH(",",'Special Help Table'!$A910,SEARCH(";",'Special Help Table'!$A910)))&amp;" "&amp;MID('Special Help Table'!$A910,SEARCH("; ",'Special Help Table'!$A910)+2,SEARCH(",",'Special Help Table'!$A910,SEARCH(";",'Special Help Table'!$A910))-SEARCH(";",'Special Help Table'!$A910)-2),AND(LEN('Special Help Table'!$A910)-LEN(SUBSTITUTE('Special Help Table'!$A910,"and ",""))=0,LEN('Special Help Table'!$A910)-LEN(SUBSTITUTE('Special Help Table'!$A910,";",""))=0),'Special Help Table'!$A910,AND(LEN('Special Help Table'!$A910)-LEN(SUBSTITUTE('Special Help Table'!$A910,",","")=1),LEN('Special Help Table'!$A910)-LEN(SUBSTITUTE('Special Help Table'!$A910," ","")=20),LEN('Special Help Table'!$A910)-LEN(SUBSTITUTE('Special Help Table'!$A910," and",""))=0,LEN('Special Help Table'!$A910)-LEN(SUBSTITUTE('Special Help Table'!$A910,",","",FIND(" ",'Special Help Table'!$A910)+1))=0),RIGHT('Special Help Table'!$A910,LEN('Special Help Table'!$A910)-FIND(", ",'Special Help Table'!$A910))&amp;" "&amp;LEFT('Special Help Table'!$A910,FIND(",",'Special Help Table'!$A910)-1),AND(LEN('Special Help Table'!$A910)-LEN(SUBSTITUTE('Special Help Table'!$A910,"editor",""))=6,LEN('Special Help Table'!$A910)-LEN(SUBSTITUTE('Special Help Table'!$A910,"(",""))=0,LEN('Special Help Table'!$A910)-LEN(SUBSTITUTE('Special Help Table'!$A910,"and",""))=3,LEN('Special Help Table'!$A910)-LEN(SUBSTITUTE('Special Help Table'!$A910,",",""))=1,LEN('Special Help Table'!$A910)-LEN(SUBSTITUTE('Special Help Table'!$A910," ",""))=3),'Special Help Table'!$A910)</f>
        <v>0</v>
      </c>
      <c r="C910" s="4" t="s">
        <v>1604</v>
      </c>
      <c r="D910" s="2"/>
      <c r="E910" s="2" t="s">
        <v>1491</v>
      </c>
      <c r="F910" s="2"/>
      <c r="G910" s="2"/>
      <c r="H910" s="2"/>
      <c r="I910" s="2"/>
      <c r="J910" s="2"/>
      <c r="K910" s="3">
        <v>44578</v>
      </c>
      <c r="L910" s="2"/>
      <c r="M910" s="2"/>
      <c r="N910" s="2" t="s">
        <v>1494</v>
      </c>
    </row>
    <row r="911" spans="1:14" ht="15.75" customHeight="1" x14ac:dyDescent="0.35">
      <c r="A911" s="2"/>
      <c r="B911" s="2" cm="1">
        <f t="array" ref="B911">_xlfn.IFS(AND(LEN('Special Help Table'!$A911)-(LEN(SUBSTITUTE('Special Help Table'!$A911,";","")))=0,LEN('Special Help Table'!$A911)-LEN(SUBSTITUTE('Special Help Table'!$A911,",",""))=1,LEN('Special Help Table'!$A911)-LEN(SUBSTITUTE('Special Help Table'!$A911,"and ",""))=0),MID('Special Help Table'!$A911&amp;" "&amp;'Special Help Table'!$A911,SEARCH(", ",'Special Help Table'!$A911)+1,LEN('Special Help Table'!$A911)),AND(LEN('Special Help Table'!$A911)-(LEN(SUBSTITUTE('Special Help Table'!$A911,";","")))=1,LEN('Special Help Table'!$A911)-LEN(SUBSTITUTE('Special Help Table'!$A911,"and ",""))=0),MID('Special Help Table'!$A911,SEARCH(",",'Special Help Table'!$A911)+1,(SEARCH(";",'Special Help Table'!$A911)-1)-SEARCH(",",'Special Help Table'!$A911))&amp;" "&amp;LEFT('Special Help Table'!$A911,SEARCH(",",'Special Help Table'!$A911)-1)&amp;";"&amp;RIGHT('Special Help Table'!$A911,LEN('Special Help Table'!$A911)-SEARCH(",",'Special Help Table'!$A911,SEARCH(";",'Special Help Table'!$A911)))&amp;" "&amp;MID('Special Help Table'!$A911,SEARCH("; ",'Special Help Table'!$A911)+2,SEARCH(",",'Special Help Table'!$A911,SEARCH(";",'Special Help Table'!$A911))-SEARCH(";",'Special Help Table'!$A911)-2),AND(LEN('Special Help Table'!$A911)-LEN(SUBSTITUTE('Special Help Table'!$A911,"and ",""))=0,LEN('Special Help Table'!$A911)-LEN(SUBSTITUTE('Special Help Table'!$A911,";",""))=0),'Special Help Table'!$A911,AND(LEN('Special Help Table'!$A911)-LEN(SUBSTITUTE('Special Help Table'!$A911,",","")=1),LEN('Special Help Table'!$A911)-LEN(SUBSTITUTE('Special Help Table'!$A911," ","")=20),LEN('Special Help Table'!$A911)-LEN(SUBSTITUTE('Special Help Table'!$A911," and",""))=0,LEN('Special Help Table'!$A911)-LEN(SUBSTITUTE('Special Help Table'!$A911,",","",FIND(" ",'Special Help Table'!$A911)+1))=0),RIGHT('Special Help Table'!$A911,LEN('Special Help Table'!$A911)-FIND(", ",'Special Help Table'!$A911))&amp;" "&amp;LEFT('Special Help Table'!$A911,FIND(",",'Special Help Table'!$A911)-1),AND(LEN('Special Help Table'!$A911)-LEN(SUBSTITUTE('Special Help Table'!$A911,"editor",""))=6,LEN('Special Help Table'!$A911)-LEN(SUBSTITUTE('Special Help Table'!$A911,"(",""))=0,LEN('Special Help Table'!$A911)-LEN(SUBSTITUTE('Special Help Table'!$A911,"and",""))=3,LEN('Special Help Table'!$A911)-LEN(SUBSTITUTE('Special Help Table'!$A911,",",""))=1,LEN('Special Help Table'!$A911)-LEN(SUBSTITUTE('Special Help Table'!$A911," ",""))=3),'Special Help Table'!$A911)</f>
        <v>0</v>
      </c>
      <c r="C911" s="4" t="s">
        <v>1605</v>
      </c>
      <c r="D911" s="2"/>
      <c r="E911" s="2" t="s">
        <v>1491</v>
      </c>
      <c r="F911" s="2"/>
      <c r="G911" s="2"/>
      <c r="H911" s="2"/>
      <c r="I911" s="2"/>
      <c r="J911" s="2"/>
      <c r="K911" s="3">
        <v>41621</v>
      </c>
      <c r="L911" s="2"/>
      <c r="M911" s="2"/>
      <c r="N911" s="2" t="s">
        <v>1494</v>
      </c>
    </row>
    <row r="912" spans="1:14" ht="15.75" customHeight="1" x14ac:dyDescent="0.35">
      <c r="A912" s="2"/>
      <c r="B912" s="2" cm="1">
        <f t="array" ref="B912">_xlfn.IFS(AND(LEN('Special Help Table'!$A912)-(LEN(SUBSTITUTE('Special Help Table'!$A912,";","")))=0,LEN('Special Help Table'!$A912)-LEN(SUBSTITUTE('Special Help Table'!$A912,",",""))=1,LEN('Special Help Table'!$A912)-LEN(SUBSTITUTE('Special Help Table'!$A912,"and ",""))=0),MID('Special Help Table'!$A912&amp;" "&amp;'Special Help Table'!$A912,SEARCH(", ",'Special Help Table'!$A912)+1,LEN('Special Help Table'!$A912)),AND(LEN('Special Help Table'!$A912)-(LEN(SUBSTITUTE('Special Help Table'!$A912,";","")))=1,LEN('Special Help Table'!$A912)-LEN(SUBSTITUTE('Special Help Table'!$A912,"and ",""))=0),MID('Special Help Table'!$A912,SEARCH(",",'Special Help Table'!$A912)+1,(SEARCH(";",'Special Help Table'!$A912)-1)-SEARCH(",",'Special Help Table'!$A912))&amp;" "&amp;LEFT('Special Help Table'!$A912,SEARCH(",",'Special Help Table'!$A912)-1)&amp;";"&amp;RIGHT('Special Help Table'!$A912,LEN('Special Help Table'!$A912)-SEARCH(",",'Special Help Table'!$A912,SEARCH(";",'Special Help Table'!$A912)))&amp;" "&amp;MID('Special Help Table'!$A912,SEARCH("; ",'Special Help Table'!$A912)+2,SEARCH(",",'Special Help Table'!$A912,SEARCH(";",'Special Help Table'!$A912))-SEARCH(";",'Special Help Table'!$A912)-2),AND(LEN('Special Help Table'!$A912)-LEN(SUBSTITUTE('Special Help Table'!$A912,"and ",""))=0,LEN('Special Help Table'!$A912)-LEN(SUBSTITUTE('Special Help Table'!$A912,";",""))=0),'Special Help Table'!$A912,AND(LEN('Special Help Table'!$A912)-LEN(SUBSTITUTE('Special Help Table'!$A912,",","")=1),LEN('Special Help Table'!$A912)-LEN(SUBSTITUTE('Special Help Table'!$A912," ","")=20),LEN('Special Help Table'!$A912)-LEN(SUBSTITUTE('Special Help Table'!$A912," and",""))=0,LEN('Special Help Table'!$A912)-LEN(SUBSTITUTE('Special Help Table'!$A912,",","",FIND(" ",'Special Help Table'!$A912)+1))=0),RIGHT('Special Help Table'!$A912,LEN('Special Help Table'!$A912)-FIND(", ",'Special Help Table'!$A912))&amp;" "&amp;LEFT('Special Help Table'!$A912,FIND(",",'Special Help Table'!$A912)-1),AND(LEN('Special Help Table'!$A912)-LEN(SUBSTITUTE('Special Help Table'!$A912,"editor",""))=6,LEN('Special Help Table'!$A912)-LEN(SUBSTITUTE('Special Help Table'!$A912,"(",""))=0,LEN('Special Help Table'!$A912)-LEN(SUBSTITUTE('Special Help Table'!$A912,"and",""))=3,LEN('Special Help Table'!$A912)-LEN(SUBSTITUTE('Special Help Table'!$A912,",",""))=1,LEN('Special Help Table'!$A912)-LEN(SUBSTITUTE('Special Help Table'!$A912," ",""))=3),'Special Help Table'!$A912)</f>
        <v>0</v>
      </c>
      <c r="C912" s="4" t="s">
        <v>1606</v>
      </c>
      <c r="D912" s="2"/>
      <c r="E912" s="2" t="s">
        <v>1491</v>
      </c>
      <c r="F912" s="2"/>
      <c r="G912" s="2"/>
      <c r="H912" s="2"/>
      <c r="I912" s="2"/>
      <c r="J912" s="2"/>
      <c r="K912" s="3">
        <v>41122</v>
      </c>
      <c r="L912" s="2"/>
      <c r="M912" s="2"/>
      <c r="N912" s="2" t="s">
        <v>1494</v>
      </c>
    </row>
    <row r="913" spans="1:14" ht="15.75" customHeight="1" x14ac:dyDescent="0.35">
      <c r="A913" s="2"/>
      <c r="B913" s="2" cm="1">
        <f t="array" ref="B913">_xlfn.IFS(AND(LEN('Special Help Table'!$A913)-(LEN(SUBSTITUTE('Special Help Table'!$A913,";","")))=0,LEN('Special Help Table'!$A913)-LEN(SUBSTITUTE('Special Help Table'!$A913,",",""))=1,LEN('Special Help Table'!$A913)-LEN(SUBSTITUTE('Special Help Table'!$A913,"and ",""))=0),MID('Special Help Table'!$A913&amp;" "&amp;'Special Help Table'!$A913,SEARCH(", ",'Special Help Table'!$A913)+1,LEN('Special Help Table'!$A913)),AND(LEN('Special Help Table'!$A913)-(LEN(SUBSTITUTE('Special Help Table'!$A913,";","")))=1,LEN('Special Help Table'!$A913)-LEN(SUBSTITUTE('Special Help Table'!$A913,"and ",""))=0),MID('Special Help Table'!$A913,SEARCH(",",'Special Help Table'!$A913)+1,(SEARCH(";",'Special Help Table'!$A913)-1)-SEARCH(",",'Special Help Table'!$A913))&amp;" "&amp;LEFT('Special Help Table'!$A913,SEARCH(",",'Special Help Table'!$A913)-1)&amp;";"&amp;RIGHT('Special Help Table'!$A913,LEN('Special Help Table'!$A913)-SEARCH(",",'Special Help Table'!$A913,SEARCH(";",'Special Help Table'!$A913)))&amp;" "&amp;MID('Special Help Table'!$A913,SEARCH("; ",'Special Help Table'!$A913)+2,SEARCH(",",'Special Help Table'!$A913,SEARCH(";",'Special Help Table'!$A913))-SEARCH(";",'Special Help Table'!$A913)-2),AND(LEN('Special Help Table'!$A913)-LEN(SUBSTITUTE('Special Help Table'!$A913,"and ",""))=0,LEN('Special Help Table'!$A913)-LEN(SUBSTITUTE('Special Help Table'!$A913,";",""))=0),'Special Help Table'!$A913,AND(LEN('Special Help Table'!$A913)-LEN(SUBSTITUTE('Special Help Table'!$A913,",","")=1),LEN('Special Help Table'!$A913)-LEN(SUBSTITUTE('Special Help Table'!$A913," ","")=20),LEN('Special Help Table'!$A913)-LEN(SUBSTITUTE('Special Help Table'!$A913," and",""))=0,LEN('Special Help Table'!$A913)-LEN(SUBSTITUTE('Special Help Table'!$A913,",","",FIND(" ",'Special Help Table'!$A913)+1))=0),RIGHT('Special Help Table'!$A913,LEN('Special Help Table'!$A913)-FIND(", ",'Special Help Table'!$A913))&amp;" "&amp;LEFT('Special Help Table'!$A913,FIND(",",'Special Help Table'!$A913)-1),AND(LEN('Special Help Table'!$A913)-LEN(SUBSTITUTE('Special Help Table'!$A913,"editor",""))=6,LEN('Special Help Table'!$A913)-LEN(SUBSTITUTE('Special Help Table'!$A913,"(",""))=0,LEN('Special Help Table'!$A913)-LEN(SUBSTITUTE('Special Help Table'!$A913,"and",""))=3,LEN('Special Help Table'!$A913)-LEN(SUBSTITUTE('Special Help Table'!$A913,",",""))=1,LEN('Special Help Table'!$A913)-LEN(SUBSTITUTE('Special Help Table'!$A913," ",""))=3),'Special Help Table'!$A913)</f>
        <v>0</v>
      </c>
      <c r="C913" s="4" t="s">
        <v>1607</v>
      </c>
      <c r="D913" s="2"/>
      <c r="E913" s="2" t="s">
        <v>1491</v>
      </c>
      <c r="F913" s="2"/>
      <c r="G913" s="2"/>
      <c r="H913" s="2"/>
      <c r="I913" s="2"/>
      <c r="J913" s="2"/>
      <c r="K913" s="3">
        <v>41133</v>
      </c>
      <c r="L913" s="2"/>
      <c r="M913" s="2" t="s">
        <v>1554</v>
      </c>
      <c r="N913" s="2" t="s">
        <v>1494</v>
      </c>
    </row>
    <row r="914" spans="1:14" ht="15.75" customHeight="1" x14ac:dyDescent="0.35">
      <c r="A914" s="2"/>
      <c r="B914" s="2" cm="1">
        <f t="array" ref="B914">_xlfn.IFS(AND(LEN('Special Help Table'!$A914)-(LEN(SUBSTITUTE('Special Help Table'!$A914,";","")))=0,LEN('Special Help Table'!$A914)-LEN(SUBSTITUTE('Special Help Table'!$A914,",",""))=1,LEN('Special Help Table'!$A914)-LEN(SUBSTITUTE('Special Help Table'!$A914,"and ",""))=0),MID('Special Help Table'!$A914&amp;" "&amp;'Special Help Table'!$A914,SEARCH(", ",'Special Help Table'!$A914)+1,LEN('Special Help Table'!$A914)),AND(LEN('Special Help Table'!$A914)-(LEN(SUBSTITUTE('Special Help Table'!$A914,";","")))=1,LEN('Special Help Table'!$A914)-LEN(SUBSTITUTE('Special Help Table'!$A914,"and ",""))=0),MID('Special Help Table'!$A914,SEARCH(",",'Special Help Table'!$A914)+1,(SEARCH(";",'Special Help Table'!$A914)-1)-SEARCH(",",'Special Help Table'!$A914))&amp;" "&amp;LEFT('Special Help Table'!$A914,SEARCH(",",'Special Help Table'!$A914)-1)&amp;";"&amp;RIGHT('Special Help Table'!$A914,LEN('Special Help Table'!$A914)-SEARCH(",",'Special Help Table'!$A914,SEARCH(";",'Special Help Table'!$A914)))&amp;" "&amp;MID('Special Help Table'!$A914,SEARCH("; ",'Special Help Table'!$A914)+2,SEARCH(",",'Special Help Table'!$A914,SEARCH(";",'Special Help Table'!$A914))-SEARCH(";",'Special Help Table'!$A914)-2),AND(LEN('Special Help Table'!$A914)-LEN(SUBSTITUTE('Special Help Table'!$A914,"and ",""))=0,LEN('Special Help Table'!$A914)-LEN(SUBSTITUTE('Special Help Table'!$A914,";",""))=0),'Special Help Table'!$A914,AND(LEN('Special Help Table'!$A914)-LEN(SUBSTITUTE('Special Help Table'!$A914,",","")=1),LEN('Special Help Table'!$A914)-LEN(SUBSTITUTE('Special Help Table'!$A914," ","")=20),LEN('Special Help Table'!$A914)-LEN(SUBSTITUTE('Special Help Table'!$A914," and",""))=0,LEN('Special Help Table'!$A914)-LEN(SUBSTITUTE('Special Help Table'!$A914,",","",FIND(" ",'Special Help Table'!$A914)+1))=0),RIGHT('Special Help Table'!$A914,LEN('Special Help Table'!$A914)-FIND(", ",'Special Help Table'!$A914))&amp;" "&amp;LEFT('Special Help Table'!$A914,FIND(",",'Special Help Table'!$A914)-1),AND(LEN('Special Help Table'!$A914)-LEN(SUBSTITUTE('Special Help Table'!$A914,"editor",""))=6,LEN('Special Help Table'!$A914)-LEN(SUBSTITUTE('Special Help Table'!$A914,"(",""))=0,LEN('Special Help Table'!$A914)-LEN(SUBSTITUTE('Special Help Table'!$A914,"and",""))=3,LEN('Special Help Table'!$A914)-LEN(SUBSTITUTE('Special Help Table'!$A914,",",""))=1,LEN('Special Help Table'!$A914)-LEN(SUBSTITUTE('Special Help Table'!$A914," ",""))=3),'Special Help Table'!$A914)</f>
        <v>0</v>
      </c>
      <c r="C914" s="4" t="s">
        <v>1608</v>
      </c>
      <c r="D914" s="2"/>
      <c r="E914" s="2" t="s">
        <v>1491</v>
      </c>
      <c r="F914" s="2"/>
      <c r="G914" s="2"/>
      <c r="H914" s="2"/>
      <c r="I914" s="2"/>
      <c r="J914" s="2"/>
      <c r="K914" s="3">
        <v>42019</v>
      </c>
      <c r="L914" s="2"/>
      <c r="M914" s="2"/>
      <c r="N914" s="2" t="s">
        <v>1494</v>
      </c>
    </row>
    <row r="915" spans="1:14" ht="15.75" customHeight="1" x14ac:dyDescent="0.35">
      <c r="A915" s="2"/>
      <c r="B915" s="2" cm="1">
        <f t="array" ref="B915">_xlfn.IFS(AND(LEN('Special Help Table'!$A915)-(LEN(SUBSTITUTE('Special Help Table'!$A915,";","")))=0,LEN('Special Help Table'!$A915)-LEN(SUBSTITUTE('Special Help Table'!$A915,",",""))=1,LEN('Special Help Table'!$A915)-LEN(SUBSTITUTE('Special Help Table'!$A915,"and ",""))=0),MID('Special Help Table'!$A915&amp;" "&amp;'Special Help Table'!$A915,SEARCH(", ",'Special Help Table'!$A915)+1,LEN('Special Help Table'!$A915)),AND(LEN('Special Help Table'!$A915)-(LEN(SUBSTITUTE('Special Help Table'!$A915,";","")))=1,LEN('Special Help Table'!$A915)-LEN(SUBSTITUTE('Special Help Table'!$A915,"and ",""))=0),MID('Special Help Table'!$A915,SEARCH(",",'Special Help Table'!$A915)+1,(SEARCH(";",'Special Help Table'!$A915)-1)-SEARCH(",",'Special Help Table'!$A915))&amp;" "&amp;LEFT('Special Help Table'!$A915,SEARCH(",",'Special Help Table'!$A915)-1)&amp;";"&amp;RIGHT('Special Help Table'!$A915,LEN('Special Help Table'!$A915)-SEARCH(",",'Special Help Table'!$A915,SEARCH(";",'Special Help Table'!$A915)))&amp;" "&amp;MID('Special Help Table'!$A915,SEARCH("; ",'Special Help Table'!$A915)+2,SEARCH(",",'Special Help Table'!$A915,SEARCH(";",'Special Help Table'!$A915))-SEARCH(";",'Special Help Table'!$A915)-2),AND(LEN('Special Help Table'!$A915)-LEN(SUBSTITUTE('Special Help Table'!$A915,"and ",""))=0,LEN('Special Help Table'!$A915)-LEN(SUBSTITUTE('Special Help Table'!$A915,";",""))=0),'Special Help Table'!$A915,AND(LEN('Special Help Table'!$A915)-LEN(SUBSTITUTE('Special Help Table'!$A915,",","")=1),LEN('Special Help Table'!$A915)-LEN(SUBSTITUTE('Special Help Table'!$A915," ","")=20),LEN('Special Help Table'!$A915)-LEN(SUBSTITUTE('Special Help Table'!$A915," and",""))=0,LEN('Special Help Table'!$A915)-LEN(SUBSTITUTE('Special Help Table'!$A915,",","",FIND(" ",'Special Help Table'!$A915)+1))=0),RIGHT('Special Help Table'!$A915,LEN('Special Help Table'!$A915)-FIND(", ",'Special Help Table'!$A915))&amp;" "&amp;LEFT('Special Help Table'!$A915,FIND(",",'Special Help Table'!$A915)-1),AND(LEN('Special Help Table'!$A915)-LEN(SUBSTITUTE('Special Help Table'!$A915,"editor",""))=6,LEN('Special Help Table'!$A915)-LEN(SUBSTITUTE('Special Help Table'!$A915,"(",""))=0,LEN('Special Help Table'!$A915)-LEN(SUBSTITUTE('Special Help Table'!$A915,"and",""))=3,LEN('Special Help Table'!$A915)-LEN(SUBSTITUTE('Special Help Table'!$A915,",",""))=1,LEN('Special Help Table'!$A915)-LEN(SUBSTITUTE('Special Help Table'!$A915," ",""))=3),'Special Help Table'!$A915)</f>
        <v>0</v>
      </c>
      <c r="C915" s="4" t="s">
        <v>1609</v>
      </c>
      <c r="D915" s="2"/>
      <c r="E915" s="2" t="s">
        <v>1491</v>
      </c>
      <c r="F915" s="2"/>
      <c r="G915" s="2"/>
      <c r="H915" s="2"/>
      <c r="I915" s="2"/>
      <c r="J915" s="2"/>
      <c r="K915" s="3">
        <v>44578</v>
      </c>
      <c r="L915" s="2"/>
      <c r="M915" s="2"/>
      <c r="N915" s="2" t="s">
        <v>1494</v>
      </c>
    </row>
    <row r="916" spans="1:14" ht="15.75" customHeight="1" x14ac:dyDescent="0.35">
      <c r="A916" s="2"/>
      <c r="B916" s="2" cm="1">
        <f t="array" ref="B916">_xlfn.IFS(AND(LEN('Special Help Table'!$A916)-(LEN(SUBSTITUTE('Special Help Table'!$A916,";","")))=0,LEN('Special Help Table'!$A916)-LEN(SUBSTITUTE('Special Help Table'!$A916,",",""))=1,LEN('Special Help Table'!$A916)-LEN(SUBSTITUTE('Special Help Table'!$A916,"and ",""))=0),MID('Special Help Table'!$A916&amp;" "&amp;'Special Help Table'!$A916,SEARCH(", ",'Special Help Table'!$A916)+1,LEN('Special Help Table'!$A916)),AND(LEN('Special Help Table'!$A916)-(LEN(SUBSTITUTE('Special Help Table'!$A916,";","")))=1,LEN('Special Help Table'!$A916)-LEN(SUBSTITUTE('Special Help Table'!$A916,"and ",""))=0),MID('Special Help Table'!$A916,SEARCH(",",'Special Help Table'!$A916)+1,(SEARCH(";",'Special Help Table'!$A916)-1)-SEARCH(",",'Special Help Table'!$A916))&amp;" "&amp;LEFT('Special Help Table'!$A916,SEARCH(",",'Special Help Table'!$A916)-1)&amp;";"&amp;RIGHT('Special Help Table'!$A916,LEN('Special Help Table'!$A916)-SEARCH(",",'Special Help Table'!$A916,SEARCH(";",'Special Help Table'!$A916)))&amp;" "&amp;MID('Special Help Table'!$A916,SEARCH("; ",'Special Help Table'!$A916)+2,SEARCH(",",'Special Help Table'!$A916,SEARCH(";",'Special Help Table'!$A916))-SEARCH(";",'Special Help Table'!$A916)-2),AND(LEN('Special Help Table'!$A916)-LEN(SUBSTITUTE('Special Help Table'!$A916,"and ",""))=0,LEN('Special Help Table'!$A916)-LEN(SUBSTITUTE('Special Help Table'!$A916,";",""))=0),'Special Help Table'!$A916,AND(LEN('Special Help Table'!$A916)-LEN(SUBSTITUTE('Special Help Table'!$A916,",","")=1),LEN('Special Help Table'!$A916)-LEN(SUBSTITUTE('Special Help Table'!$A916," ","")=20),LEN('Special Help Table'!$A916)-LEN(SUBSTITUTE('Special Help Table'!$A916," and",""))=0,LEN('Special Help Table'!$A916)-LEN(SUBSTITUTE('Special Help Table'!$A916,",","",FIND(" ",'Special Help Table'!$A916)+1))=0),RIGHT('Special Help Table'!$A916,LEN('Special Help Table'!$A916)-FIND(", ",'Special Help Table'!$A916))&amp;" "&amp;LEFT('Special Help Table'!$A916,FIND(",",'Special Help Table'!$A916)-1),AND(LEN('Special Help Table'!$A916)-LEN(SUBSTITUTE('Special Help Table'!$A916,"editor",""))=6,LEN('Special Help Table'!$A916)-LEN(SUBSTITUTE('Special Help Table'!$A916,"(",""))=0,LEN('Special Help Table'!$A916)-LEN(SUBSTITUTE('Special Help Table'!$A916,"and",""))=3,LEN('Special Help Table'!$A916)-LEN(SUBSTITUTE('Special Help Table'!$A916,",",""))=1,LEN('Special Help Table'!$A916)-LEN(SUBSTITUTE('Special Help Table'!$A916," ",""))=3),'Special Help Table'!$A916)</f>
        <v>0</v>
      </c>
      <c r="C916" s="4" t="s">
        <v>1610</v>
      </c>
      <c r="D916" s="2"/>
      <c r="E916" s="2" t="s">
        <v>1491</v>
      </c>
      <c r="F916" s="2"/>
      <c r="G916" s="2"/>
      <c r="H916" s="2"/>
      <c r="I916" s="2"/>
      <c r="J916" s="2"/>
      <c r="K916" s="3">
        <v>44578</v>
      </c>
      <c r="L916" s="2"/>
      <c r="M916" s="2"/>
      <c r="N916" s="2" t="s">
        <v>1494</v>
      </c>
    </row>
    <row r="917" spans="1:14" ht="15.75" customHeight="1" x14ac:dyDescent="0.35">
      <c r="A917" s="2"/>
      <c r="B917" s="2" cm="1">
        <f t="array" ref="B917">_xlfn.IFS(AND(LEN('Special Help Table'!$A917)-(LEN(SUBSTITUTE('Special Help Table'!$A917,";","")))=0,LEN('Special Help Table'!$A917)-LEN(SUBSTITUTE('Special Help Table'!$A917,",",""))=1,LEN('Special Help Table'!$A917)-LEN(SUBSTITUTE('Special Help Table'!$A917,"and ",""))=0),MID('Special Help Table'!$A917&amp;" "&amp;'Special Help Table'!$A917,SEARCH(", ",'Special Help Table'!$A917)+1,LEN('Special Help Table'!$A917)),AND(LEN('Special Help Table'!$A917)-(LEN(SUBSTITUTE('Special Help Table'!$A917,";","")))=1,LEN('Special Help Table'!$A917)-LEN(SUBSTITUTE('Special Help Table'!$A917,"and ",""))=0),MID('Special Help Table'!$A917,SEARCH(",",'Special Help Table'!$A917)+1,(SEARCH(";",'Special Help Table'!$A917)-1)-SEARCH(",",'Special Help Table'!$A917))&amp;" "&amp;LEFT('Special Help Table'!$A917,SEARCH(",",'Special Help Table'!$A917)-1)&amp;";"&amp;RIGHT('Special Help Table'!$A917,LEN('Special Help Table'!$A917)-SEARCH(",",'Special Help Table'!$A917,SEARCH(";",'Special Help Table'!$A917)))&amp;" "&amp;MID('Special Help Table'!$A917,SEARCH("; ",'Special Help Table'!$A917)+2,SEARCH(",",'Special Help Table'!$A917,SEARCH(";",'Special Help Table'!$A917))-SEARCH(";",'Special Help Table'!$A917)-2),AND(LEN('Special Help Table'!$A917)-LEN(SUBSTITUTE('Special Help Table'!$A917,"and ",""))=0,LEN('Special Help Table'!$A917)-LEN(SUBSTITUTE('Special Help Table'!$A917,";",""))=0),'Special Help Table'!$A917,AND(LEN('Special Help Table'!$A917)-LEN(SUBSTITUTE('Special Help Table'!$A917,",","")=1),LEN('Special Help Table'!$A917)-LEN(SUBSTITUTE('Special Help Table'!$A917," ","")=20),LEN('Special Help Table'!$A917)-LEN(SUBSTITUTE('Special Help Table'!$A917," and",""))=0,LEN('Special Help Table'!$A917)-LEN(SUBSTITUTE('Special Help Table'!$A917,",","",FIND(" ",'Special Help Table'!$A917)+1))=0),RIGHT('Special Help Table'!$A917,LEN('Special Help Table'!$A917)-FIND(", ",'Special Help Table'!$A917))&amp;" "&amp;LEFT('Special Help Table'!$A917,FIND(",",'Special Help Table'!$A917)-1),AND(LEN('Special Help Table'!$A917)-LEN(SUBSTITUTE('Special Help Table'!$A917,"editor",""))=6,LEN('Special Help Table'!$A917)-LEN(SUBSTITUTE('Special Help Table'!$A917,"(",""))=0,LEN('Special Help Table'!$A917)-LEN(SUBSTITUTE('Special Help Table'!$A917,"and",""))=3,LEN('Special Help Table'!$A917)-LEN(SUBSTITUTE('Special Help Table'!$A917,",",""))=1,LEN('Special Help Table'!$A917)-LEN(SUBSTITUTE('Special Help Table'!$A917," ",""))=3),'Special Help Table'!$A917)</f>
        <v>0</v>
      </c>
      <c r="C917" s="4" t="s">
        <v>1611</v>
      </c>
      <c r="D917" s="2"/>
      <c r="E917" s="2" t="s">
        <v>1491</v>
      </c>
      <c r="F917" s="2"/>
      <c r="G917" s="2"/>
      <c r="H917" s="2"/>
      <c r="I917" s="2"/>
      <c r="J917" s="2"/>
      <c r="K917" s="3">
        <v>40035</v>
      </c>
      <c r="L917" s="2"/>
      <c r="M917" s="2"/>
      <c r="N917" s="2" t="s">
        <v>1494</v>
      </c>
    </row>
    <row r="918" spans="1:14" ht="15.75" customHeight="1" x14ac:dyDescent="0.35">
      <c r="A918" s="2"/>
      <c r="B918" s="2" cm="1">
        <f t="array" ref="B918">_xlfn.IFS(AND(LEN('Special Help Table'!$A918)-(LEN(SUBSTITUTE('Special Help Table'!$A918,";","")))=0,LEN('Special Help Table'!$A918)-LEN(SUBSTITUTE('Special Help Table'!$A918,",",""))=1,LEN('Special Help Table'!$A918)-LEN(SUBSTITUTE('Special Help Table'!$A918,"and ",""))=0),MID('Special Help Table'!$A918&amp;" "&amp;'Special Help Table'!$A918,SEARCH(", ",'Special Help Table'!$A918)+1,LEN('Special Help Table'!$A918)),AND(LEN('Special Help Table'!$A918)-(LEN(SUBSTITUTE('Special Help Table'!$A918,";","")))=1,LEN('Special Help Table'!$A918)-LEN(SUBSTITUTE('Special Help Table'!$A918,"and ",""))=0),MID('Special Help Table'!$A918,SEARCH(",",'Special Help Table'!$A918)+1,(SEARCH(";",'Special Help Table'!$A918)-1)-SEARCH(",",'Special Help Table'!$A918))&amp;" "&amp;LEFT('Special Help Table'!$A918,SEARCH(",",'Special Help Table'!$A918)-1)&amp;";"&amp;RIGHT('Special Help Table'!$A918,LEN('Special Help Table'!$A918)-SEARCH(",",'Special Help Table'!$A918,SEARCH(";",'Special Help Table'!$A918)))&amp;" "&amp;MID('Special Help Table'!$A918,SEARCH("; ",'Special Help Table'!$A918)+2,SEARCH(",",'Special Help Table'!$A918,SEARCH(";",'Special Help Table'!$A918))-SEARCH(";",'Special Help Table'!$A918)-2),AND(LEN('Special Help Table'!$A918)-LEN(SUBSTITUTE('Special Help Table'!$A918,"and ",""))=0,LEN('Special Help Table'!$A918)-LEN(SUBSTITUTE('Special Help Table'!$A918,";",""))=0),'Special Help Table'!$A918,AND(LEN('Special Help Table'!$A918)-LEN(SUBSTITUTE('Special Help Table'!$A918,",","")=1),LEN('Special Help Table'!$A918)-LEN(SUBSTITUTE('Special Help Table'!$A918," ","")=20),LEN('Special Help Table'!$A918)-LEN(SUBSTITUTE('Special Help Table'!$A918," and",""))=0,LEN('Special Help Table'!$A918)-LEN(SUBSTITUTE('Special Help Table'!$A918,",","",FIND(" ",'Special Help Table'!$A918)+1))=0),RIGHT('Special Help Table'!$A918,LEN('Special Help Table'!$A918)-FIND(", ",'Special Help Table'!$A918))&amp;" "&amp;LEFT('Special Help Table'!$A918,FIND(",",'Special Help Table'!$A918)-1),AND(LEN('Special Help Table'!$A918)-LEN(SUBSTITUTE('Special Help Table'!$A918,"editor",""))=6,LEN('Special Help Table'!$A918)-LEN(SUBSTITUTE('Special Help Table'!$A918,"(",""))=0,LEN('Special Help Table'!$A918)-LEN(SUBSTITUTE('Special Help Table'!$A918,"and",""))=3,LEN('Special Help Table'!$A918)-LEN(SUBSTITUTE('Special Help Table'!$A918,",",""))=1,LEN('Special Help Table'!$A918)-LEN(SUBSTITUTE('Special Help Table'!$A918," ",""))=3),'Special Help Table'!$A918)</f>
        <v>0</v>
      </c>
      <c r="C918" s="4" t="s">
        <v>1612</v>
      </c>
      <c r="D918" s="2"/>
      <c r="E918" s="2" t="s">
        <v>1491</v>
      </c>
      <c r="F918" s="2"/>
      <c r="G918" s="2"/>
      <c r="H918" s="2"/>
      <c r="I918" s="2"/>
      <c r="J918" s="2"/>
      <c r="K918" s="3">
        <v>40188</v>
      </c>
      <c r="L918" s="2"/>
      <c r="M918" s="2"/>
      <c r="N918" s="2" t="s">
        <v>1494</v>
      </c>
    </row>
    <row r="919" spans="1:14" ht="15.75" customHeight="1" x14ac:dyDescent="0.35">
      <c r="A919" s="2"/>
      <c r="B919" s="2" cm="1">
        <f t="array" ref="B919">_xlfn.IFS(AND(LEN('Special Help Table'!$A919)-(LEN(SUBSTITUTE('Special Help Table'!$A919,";","")))=0,LEN('Special Help Table'!$A919)-LEN(SUBSTITUTE('Special Help Table'!$A919,",",""))=1,LEN('Special Help Table'!$A919)-LEN(SUBSTITUTE('Special Help Table'!$A919,"and ",""))=0),MID('Special Help Table'!$A919&amp;" "&amp;'Special Help Table'!$A919,SEARCH(", ",'Special Help Table'!$A919)+1,LEN('Special Help Table'!$A919)),AND(LEN('Special Help Table'!$A919)-(LEN(SUBSTITUTE('Special Help Table'!$A919,";","")))=1,LEN('Special Help Table'!$A919)-LEN(SUBSTITUTE('Special Help Table'!$A919,"and ",""))=0),MID('Special Help Table'!$A919,SEARCH(",",'Special Help Table'!$A919)+1,(SEARCH(";",'Special Help Table'!$A919)-1)-SEARCH(",",'Special Help Table'!$A919))&amp;" "&amp;LEFT('Special Help Table'!$A919,SEARCH(",",'Special Help Table'!$A919)-1)&amp;";"&amp;RIGHT('Special Help Table'!$A919,LEN('Special Help Table'!$A919)-SEARCH(",",'Special Help Table'!$A919,SEARCH(";",'Special Help Table'!$A919)))&amp;" "&amp;MID('Special Help Table'!$A919,SEARCH("; ",'Special Help Table'!$A919)+2,SEARCH(",",'Special Help Table'!$A919,SEARCH(";",'Special Help Table'!$A919))-SEARCH(";",'Special Help Table'!$A919)-2),AND(LEN('Special Help Table'!$A919)-LEN(SUBSTITUTE('Special Help Table'!$A919,"and ",""))=0,LEN('Special Help Table'!$A919)-LEN(SUBSTITUTE('Special Help Table'!$A919,";",""))=0),'Special Help Table'!$A919,AND(LEN('Special Help Table'!$A919)-LEN(SUBSTITUTE('Special Help Table'!$A919,",","")=1),LEN('Special Help Table'!$A919)-LEN(SUBSTITUTE('Special Help Table'!$A919," ","")=20),LEN('Special Help Table'!$A919)-LEN(SUBSTITUTE('Special Help Table'!$A919," and",""))=0,LEN('Special Help Table'!$A919)-LEN(SUBSTITUTE('Special Help Table'!$A919,",","",FIND(" ",'Special Help Table'!$A919)+1))=0),RIGHT('Special Help Table'!$A919,LEN('Special Help Table'!$A919)-FIND(", ",'Special Help Table'!$A919))&amp;" "&amp;LEFT('Special Help Table'!$A919,FIND(",",'Special Help Table'!$A919)-1),AND(LEN('Special Help Table'!$A919)-LEN(SUBSTITUTE('Special Help Table'!$A919,"editor",""))=6,LEN('Special Help Table'!$A919)-LEN(SUBSTITUTE('Special Help Table'!$A919,"(",""))=0,LEN('Special Help Table'!$A919)-LEN(SUBSTITUTE('Special Help Table'!$A919,"and",""))=3,LEN('Special Help Table'!$A919)-LEN(SUBSTITUTE('Special Help Table'!$A919,",",""))=1,LEN('Special Help Table'!$A919)-LEN(SUBSTITUTE('Special Help Table'!$A919," ",""))=3),'Special Help Table'!$A919)</f>
        <v>0</v>
      </c>
      <c r="C919" s="4" t="s">
        <v>1613</v>
      </c>
      <c r="D919" s="2"/>
      <c r="E919" s="2" t="s">
        <v>1491</v>
      </c>
      <c r="F919" s="2"/>
      <c r="G919" s="2"/>
      <c r="H919" s="2"/>
      <c r="I919" s="2"/>
      <c r="J919" s="2"/>
      <c r="K919" s="3">
        <v>41122</v>
      </c>
      <c r="L919" s="2"/>
      <c r="M919" s="2" t="s">
        <v>1088</v>
      </c>
      <c r="N919" s="2" t="s">
        <v>1494</v>
      </c>
    </row>
    <row r="920" spans="1:14" ht="15.75" customHeight="1" x14ac:dyDescent="0.35">
      <c r="A920" s="2"/>
      <c r="B920" s="2" cm="1">
        <f t="array" ref="B920">_xlfn.IFS(AND(LEN('Special Help Table'!$A920)-(LEN(SUBSTITUTE('Special Help Table'!$A920,";","")))=0,LEN('Special Help Table'!$A920)-LEN(SUBSTITUTE('Special Help Table'!$A920,",",""))=1,LEN('Special Help Table'!$A920)-LEN(SUBSTITUTE('Special Help Table'!$A920,"and ",""))=0),MID('Special Help Table'!$A920&amp;" "&amp;'Special Help Table'!$A920,SEARCH(", ",'Special Help Table'!$A920)+1,LEN('Special Help Table'!$A920)),AND(LEN('Special Help Table'!$A920)-(LEN(SUBSTITUTE('Special Help Table'!$A920,";","")))=1,LEN('Special Help Table'!$A920)-LEN(SUBSTITUTE('Special Help Table'!$A920,"and ",""))=0),MID('Special Help Table'!$A920,SEARCH(",",'Special Help Table'!$A920)+1,(SEARCH(";",'Special Help Table'!$A920)-1)-SEARCH(",",'Special Help Table'!$A920))&amp;" "&amp;LEFT('Special Help Table'!$A920,SEARCH(",",'Special Help Table'!$A920)-1)&amp;";"&amp;RIGHT('Special Help Table'!$A920,LEN('Special Help Table'!$A920)-SEARCH(",",'Special Help Table'!$A920,SEARCH(";",'Special Help Table'!$A920)))&amp;" "&amp;MID('Special Help Table'!$A920,SEARCH("; ",'Special Help Table'!$A920)+2,SEARCH(",",'Special Help Table'!$A920,SEARCH(";",'Special Help Table'!$A920))-SEARCH(";",'Special Help Table'!$A920)-2),AND(LEN('Special Help Table'!$A920)-LEN(SUBSTITUTE('Special Help Table'!$A920,"and ",""))=0,LEN('Special Help Table'!$A920)-LEN(SUBSTITUTE('Special Help Table'!$A920,";",""))=0),'Special Help Table'!$A920,AND(LEN('Special Help Table'!$A920)-LEN(SUBSTITUTE('Special Help Table'!$A920,",","")=1),LEN('Special Help Table'!$A920)-LEN(SUBSTITUTE('Special Help Table'!$A920," ","")=20),LEN('Special Help Table'!$A920)-LEN(SUBSTITUTE('Special Help Table'!$A920," and",""))=0,LEN('Special Help Table'!$A920)-LEN(SUBSTITUTE('Special Help Table'!$A920,",","",FIND(" ",'Special Help Table'!$A920)+1))=0),RIGHT('Special Help Table'!$A920,LEN('Special Help Table'!$A920)-FIND(", ",'Special Help Table'!$A920))&amp;" "&amp;LEFT('Special Help Table'!$A920,FIND(",",'Special Help Table'!$A920)-1),AND(LEN('Special Help Table'!$A920)-LEN(SUBSTITUTE('Special Help Table'!$A920,"editor",""))=6,LEN('Special Help Table'!$A920)-LEN(SUBSTITUTE('Special Help Table'!$A920,"(",""))=0,LEN('Special Help Table'!$A920)-LEN(SUBSTITUTE('Special Help Table'!$A920,"and",""))=3,LEN('Special Help Table'!$A920)-LEN(SUBSTITUTE('Special Help Table'!$A920,",",""))=1,LEN('Special Help Table'!$A920)-LEN(SUBSTITUTE('Special Help Table'!$A920," ",""))=3),'Special Help Table'!$A920)</f>
        <v>0</v>
      </c>
      <c r="C920" s="4" t="s">
        <v>1614</v>
      </c>
      <c r="D920" s="2"/>
      <c r="E920" s="2" t="s">
        <v>1491</v>
      </c>
      <c r="F920" s="2"/>
      <c r="G920" s="2"/>
      <c r="H920" s="2"/>
      <c r="I920" s="2"/>
      <c r="J920" s="2"/>
      <c r="K920" s="3">
        <v>42511</v>
      </c>
      <c r="L920" s="2"/>
      <c r="M920" s="2"/>
      <c r="N920" s="2" t="s">
        <v>1494</v>
      </c>
    </row>
    <row r="921" spans="1:14" ht="15.75" customHeight="1" x14ac:dyDescent="0.35">
      <c r="A921" s="2"/>
      <c r="B921" s="2" cm="1">
        <f t="array" ref="B921">_xlfn.IFS(AND(LEN('Special Help Table'!$A921)-(LEN(SUBSTITUTE('Special Help Table'!$A921,";","")))=0,LEN('Special Help Table'!$A921)-LEN(SUBSTITUTE('Special Help Table'!$A921,",",""))=1,LEN('Special Help Table'!$A921)-LEN(SUBSTITUTE('Special Help Table'!$A921,"and ",""))=0),MID('Special Help Table'!$A921&amp;" "&amp;'Special Help Table'!$A921,SEARCH(", ",'Special Help Table'!$A921)+1,LEN('Special Help Table'!$A921)),AND(LEN('Special Help Table'!$A921)-(LEN(SUBSTITUTE('Special Help Table'!$A921,";","")))=1,LEN('Special Help Table'!$A921)-LEN(SUBSTITUTE('Special Help Table'!$A921,"and ",""))=0),MID('Special Help Table'!$A921,SEARCH(",",'Special Help Table'!$A921)+1,(SEARCH(";",'Special Help Table'!$A921)-1)-SEARCH(",",'Special Help Table'!$A921))&amp;" "&amp;LEFT('Special Help Table'!$A921,SEARCH(",",'Special Help Table'!$A921)-1)&amp;";"&amp;RIGHT('Special Help Table'!$A921,LEN('Special Help Table'!$A921)-SEARCH(",",'Special Help Table'!$A921,SEARCH(";",'Special Help Table'!$A921)))&amp;" "&amp;MID('Special Help Table'!$A921,SEARCH("; ",'Special Help Table'!$A921)+2,SEARCH(",",'Special Help Table'!$A921,SEARCH(";",'Special Help Table'!$A921))-SEARCH(";",'Special Help Table'!$A921)-2),AND(LEN('Special Help Table'!$A921)-LEN(SUBSTITUTE('Special Help Table'!$A921,"and ",""))=0,LEN('Special Help Table'!$A921)-LEN(SUBSTITUTE('Special Help Table'!$A921,";",""))=0),'Special Help Table'!$A921,AND(LEN('Special Help Table'!$A921)-LEN(SUBSTITUTE('Special Help Table'!$A921,",","")=1),LEN('Special Help Table'!$A921)-LEN(SUBSTITUTE('Special Help Table'!$A921," ","")=20),LEN('Special Help Table'!$A921)-LEN(SUBSTITUTE('Special Help Table'!$A921," and",""))=0,LEN('Special Help Table'!$A921)-LEN(SUBSTITUTE('Special Help Table'!$A921,",","",FIND(" ",'Special Help Table'!$A921)+1))=0),RIGHT('Special Help Table'!$A921,LEN('Special Help Table'!$A921)-FIND(", ",'Special Help Table'!$A921))&amp;" "&amp;LEFT('Special Help Table'!$A921,FIND(",",'Special Help Table'!$A921)-1),AND(LEN('Special Help Table'!$A921)-LEN(SUBSTITUTE('Special Help Table'!$A921,"editor",""))=6,LEN('Special Help Table'!$A921)-LEN(SUBSTITUTE('Special Help Table'!$A921,"(",""))=0,LEN('Special Help Table'!$A921)-LEN(SUBSTITUTE('Special Help Table'!$A921,"and",""))=3,LEN('Special Help Table'!$A921)-LEN(SUBSTITUTE('Special Help Table'!$A921,",",""))=1,LEN('Special Help Table'!$A921)-LEN(SUBSTITUTE('Special Help Table'!$A921," ",""))=3),'Special Help Table'!$A921)</f>
        <v>0</v>
      </c>
      <c r="C921" s="4" t="s">
        <v>1615</v>
      </c>
      <c r="D921" s="2"/>
      <c r="E921" s="2" t="s">
        <v>1491</v>
      </c>
      <c r="F921" s="2"/>
      <c r="G921" s="2"/>
      <c r="H921" s="2"/>
      <c r="I921" s="2"/>
      <c r="J921" s="2"/>
      <c r="K921" s="3">
        <v>42675</v>
      </c>
      <c r="L921" s="2"/>
      <c r="M921" s="2"/>
      <c r="N921" s="2" t="s">
        <v>1494</v>
      </c>
    </row>
    <row r="922" spans="1:14" ht="15.75" customHeight="1" x14ac:dyDescent="0.35">
      <c r="A922" s="2"/>
      <c r="B922" s="2" cm="1">
        <f t="array" ref="B922">_xlfn.IFS(AND(LEN('Special Help Table'!$A922)-(LEN(SUBSTITUTE('Special Help Table'!$A922,";","")))=0,LEN('Special Help Table'!$A922)-LEN(SUBSTITUTE('Special Help Table'!$A922,",",""))=1,LEN('Special Help Table'!$A922)-LEN(SUBSTITUTE('Special Help Table'!$A922,"and ",""))=0),MID('Special Help Table'!$A922&amp;" "&amp;'Special Help Table'!$A922,SEARCH(", ",'Special Help Table'!$A922)+1,LEN('Special Help Table'!$A922)),AND(LEN('Special Help Table'!$A922)-(LEN(SUBSTITUTE('Special Help Table'!$A922,";","")))=1,LEN('Special Help Table'!$A922)-LEN(SUBSTITUTE('Special Help Table'!$A922,"and ",""))=0),MID('Special Help Table'!$A922,SEARCH(",",'Special Help Table'!$A922)+1,(SEARCH(";",'Special Help Table'!$A922)-1)-SEARCH(",",'Special Help Table'!$A922))&amp;" "&amp;LEFT('Special Help Table'!$A922,SEARCH(",",'Special Help Table'!$A922)-1)&amp;";"&amp;RIGHT('Special Help Table'!$A922,LEN('Special Help Table'!$A922)-SEARCH(",",'Special Help Table'!$A922,SEARCH(";",'Special Help Table'!$A922)))&amp;" "&amp;MID('Special Help Table'!$A922,SEARCH("; ",'Special Help Table'!$A922)+2,SEARCH(",",'Special Help Table'!$A922,SEARCH(";",'Special Help Table'!$A922))-SEARCH(";",'Special Help Table'!$A922)-2),AND(LEN('Special Help Table'!$A922)-LEN(SUBSTITUTE('Special Help Table'!$A922,"and ",""))=0,LEN('Special Help Table'!$A922)-LEN(SUBSTITUTE('Special Help Table'!$A922,";",""))=0),'Special Help Table'!$A922,AND(LEN('Special Help Table'!$A922)-LEN(SUBSTITUTE('Special Help Table'!$A922,",","")=1),LEN('Special Help Table'!$A922)-LEN(SUBSTITUTE('Special Help Table'!$A922," ","")=20),LEN('Special Help Table'!$A922)-LEN(SUBSTITUTE('Special Help Table'!$A922," and",""))=0,LEN('Special Help Table'!$A922)-LEN(SUBSTITUTE('Special Help Table'!$A922,",","",FIND(" ",'Special Help Table'!$A922)+1))=0),RIGHT('Special Help Table'!$A922,LEN('Special Help Table'!$A922)-FIND(", ",'Special Help Table'!$A922))&amp;" "&amp;LEFT('Special Help Table'!$A922,FIND(",",'Special Help Table'!$A922)-1),AND(LEN('Special Help Table'!$A922)-LEN(SUBSTITUTE('Special Help Table'!$A922,"editor",""))=6,LEN('Special Help Table'!$A922)-LEN(SUBSTITUTE('Special Help Table'!$A922,"(",""))=0,LEN('Special Help Table'!$A922)-LEN(SUBSTITUTE('Special Help Table'!$A922,"and",""))=3,LEN('Special Help Table'!$A922)-LEN(SUBSTITUTE('Special Help Table'!$A922,",",""))=1,LEN('Special Help Table'!$A922)-LEN(SUBSTITUTE('Special Help Table'!$A922," ",""))=3),'Special Help Table'!$A922)</f>
        <v>0</v>
      </c>
      <c r="C922" s="4" t="s">
        <v>1616</v>
      </c>
      <c r="D922" s="2"/>
      <c r="E922" s="2" t="s">
        <v>1491</v>
      </c>
      <c r="F922" s="2"/>
      <c r="G922" s="2"/>
      <c r="H922" s="2"/>
      <c r="I922" s="2"/>
      <c r="J922" s="2"/>
      <c r="K922" s="3">
        <v>41287</v>
      </c>
      <c r="L922" s="2"/>
      <c r="M922" s="2"/>
      <c r="N922" s="2" t="s">
        <v>1494</v>
      </c>
    </row>
    <row r="923" spans="1:14" ht="15.75" customHeight="1" x14ac:dyDescent="0.35">
      <c r="A923" s="2"/>
      <c r="B923" s="2" cm="1">
        <f t="array" ref="B923">_xlfn.IFS(AND(LEN('Special Help Table'!$A923)-(LEN(SUBSTITUTE('Special Help Table'!$A923,";","")))=0,LEN('Special Help Table'!$A923)-LEN(SUBSTITUTE('Special Help Table'!$A923,",",""))=1,LEN('Special Help Table'!$A923)-LEN(SUBSTITUTE('Special Help Table'!$A923,"and ",""))=0),MID('Special Help Table'!$A923&amp;" "&amp;'Special Help Table'!$A923,SEARCH(", ",'Special Help Table'!$A923)+1,LEN('Special Help Table'!$A923)),AND(LEN('Special Help Table'!$A923)-(LEN(SUBSTITUTE('Special Help Table'!$A923,";","")))=1,LEN('Special Help Table'!$A923)-LEN(SUBSTITUTE('Special Help Table'!$A923,"and ",""))=0),MID('Special Help Table'!$A923,SEARCH(",",'Special Help Table'!$A923)+1,(SEARCH(";",'Special Help Table'!$A923)-1)-SEARCH(",",'Special Help Table'!$A923))&amp;" "&amp;LEFT('Special Help Table'!$A923,SEARCH(",",'Special Help Table'!$A923)-1)&amp;";"&amp;RIGHT('Special Help Table'!$A923,LEN('Special Help Table'!$A923)-SEARCH(",",'Special Help Table'!$A923,SEARCH(";",'Special Help Table'!$A923)))&amp;" "&amp;MID('Special Help Table'!$A923,SEARCH("; ",'Special Help Table'!$A923)+2,SEARCH(",",'Special Help Table'!$A923,SEARCH(";",'Special Help Table'!$A923))-SEARCH(";",'Special Help Table'!$A923)-2),AND(LEN('Special Help Table'!$A923)-LEN(SUBSTITUTE('Special Help Table'!$A923,"and ",""))=0,LEN('Special Help Table'!$A923)-LEN(SUBSTITUTE('Special Help Table'!$A923,";",""))=0),'Special Help Table'!$A923,AND(LEN('Special Help Table'!$A923)-LEN(SUBSTITUTE('Special Help Table'!$A923,",","")=1),LEN('Special Help Table'!$A923)-LEN(SUBSTITUTE('Special Help Table'!$A923," ","")=20),LEN('Special Help Table'!$A923)-LEN(SUBSTITUTE('Special Help Table'!$A923," and",""))=0,LEN('Special Help Table'!$A923)-LEN(SUBSTITUTE('Special Help Table'!$A923,",","",FIND(" ",'Special Help Table'!$A923)+1))=0),RIGHT('Special Help Table'!$A923,LEN('Special Help Table'!$A923)-FIND(", ",'Special Help Table'!$A923))&amp;" "&amp;LEFT('Special Help Table'!$A923,FIND(",",'Special Help Table'!$A923)-1),AND(LEN('Special Help Table'!$A923)-LEN(SUBSTITUTE('Special Help Table'!$A923,"editor",""))=6,LEN('Special Help Table'!$A923)-LEN(SUBSTITUTE('Special Help Table'!$A923,"(",""))=0,LEN('Special Help Table'!$A923)-LEN(SUBSTITUTE('Special Help Table'!$A923,"and",""))=3,LEN('Special Help Table'!$A923)-LEN(SUBSTITUTE('Special Help Table'!$A923,",",""))=1,LEN('Special Help Table'!$A923)-LEN(SUBSTITUTE('Special Help Table'!$A923," ",""))=3),'Special Help Table'!$A923)</f>
        <v>0</v>
      </c>
      <c r="C923" s="4" t="s">
        <v>1617</v>
      </c>
      <c r="D923" s="2"/>
      <c r="E923" s="2" t="s">
        <v>1491</v>
      </c>
      <c r="F923" s="2"/>
      <c r="G923" s="2"/>
      <c r="H923" s="2"/>
      <c r="I923" s="2"/>
      <c r="J923" s="2"/>
      <c r="K923" s="3"/>
      <c r="L923" s="2"/>
      <c r="M923" s="2" t="s">
        <v>1618</v>
      </c>
      <c r="N923" s="2" t="s">
        <v>1494</v>
      </c>
    </row>
    <row r="924" spans="1:14" ht="15.75" customHeight="1" x14ac:dyDescent="0.35">
      <c r="A924" s="2"/>
      <c r="B924" s="2" cm="1">
        <f t="array" ref="B924">_xlfn.IFS(AND(LEN('Special Help Table'!$A924)-(LEN(SUBSTITUTE('Special Help Table'!$A924,";","")))=0,LEN('Special Help Table'!$A924)-LEN(SUBSTITUTE('Special Help Table'!$A924,",",""))=1,LEN('Special Help Table'!$A924)-LEN(SUBSTITUTE('Special Help Table'!$A924,"and ",""))=0),MID('Special Help Table'!$A924&amp;" "&amp;'Special Help Table'!$A924,SEARCH(", ",'Special Help Table'!$A924)+1,LEN('Special Help Table'!$A924)),AND(LEN('Special Help Table'!$A924)-(LEN(SUBSTITUTE('Special Help Table'!$A924,";","")))=1,LEN('Special Help Table'!$A924)-LEN(SUBSTITUTE('Special Help Table'!$A924,"and ",""))=0),MID('Special Help Table'!$A924,SEARCH(",",'Special Help Table'!$A924)+1,(SEARCH(";",'Special Help Table'!$A924)-1)-SEARCH(",",'Special Help Table'!$A924))&amp;" "&amp;LEFT('Special Help Table'!$A924,SEARCH(",",'Special Help Table'!$A924)-1)&amp;";"&amp;RIGHT('Special Help Table'!$A924,LEN('Special Help Table'!$A924)-SEARCH(",",'Special Help Table'!$A924,SEARCH(";",'Special Help Table'!$A924)))&amp;" "&amp;MID('Special Help Table'!$A924,SEARCH("; ",'Special Help Table'!$A924)+2,SEARCH(",",'Special Help Table'!$A924,SEARCH(";",'Special Help Table'!$A924))-SEARCH(";",'Special Help Table'!$A924)-2),AND(LEN('Special Help Table'!$A924)-LEN(SUBSTITUTE('Special Help Table'!$A924,"and ",""))=0,LEN('Special Help Table'!$A924)-LEN(SUBSTITUTE('Special Help Table'!$A924,";",""))=0),'Special Help Table'!$A924,AND(LEN('Special Help Table'!$A924)-LEN(SUBSTITUTE('Special Help Table'!$A924,",","")=1),LEN('Special Help Table'!$A924)-LEN(SUBSTITUTE('Special Help Table'!$A924," ","")=20),LEN('Special Help Table'!$A924)-LEN(SUBSTITUTE('Special Help Table'!$A924," and",""))=0,LEN('Special Help Table'!$A924)-LEN(SUBSTITUTE('Special Help Table'!$A924,",","",FIND(" ",'Special Help Table'!$A924)+1))=0),RIGHT('Special Help Table'!$A924,LEN('Special Help Table'!$A924)-FIND(", ",'Special Help Table'!$A924))&amp;" "&amp;LEFT('Special Help Table'!$A924,FIND(",",'Special Help Table'!$A924)-1),AND(LEN('Special Help Table'!$A924)-LEN(SUBSTITUTE('Special Help Table'!$A924,"editor",""))=6,LEN('Special Help Table'!$A924)-LEN(SUBSTITUTE('Special Help Table'!$A924,"(",""))=0,LEN('Special Help Table'!$A924)-LEN(SUBSTITUTE('Special Help Table'!$A924,"and",""))=3,LEN('Special Help Table'!$A924)-LEN(SUBSTITUTE('Special Help Table'!$A924,",",""))=1,LEN('Special Help Table'!$A924)-LEN(SUBSTITUTE('Special Help Table'!$A924," ",""))=3),'Special Help Table'!$A924)</f>
        <v>0</v>
      </c>
      <c r="C924" s="4" t="s">
        <v>1619</v>
      </c>
      <c r="D924" s="2"/>
      <c r="E924" s="2" t="s">
        <v>1491</v>
      </c>
      <c r="F924" s="2"/>
      <c r="G924" s="2"/>
      <c r="H924" s="2"/>
      <c r="I924" s="2"/>
      <c r="J924" s="2"/>
      <c r="K924" s="3">
        <v>44578</v>
      </c>
      <c r="L924" s="2"/>
      <c r="M924" s="2"/>
      <c r="N924" s="2" t="s">
        <v>1494</v>
      </c>
    </row>
    <row r="925" spans="1:14" ht="15.75" customHeight="1" x14ac:dyDescent="0.35">
      <c r="A925" s="2"/>
      <c r="B925" s="2" cm="1">
        <f t="array" ref="B925">_xlfn.IFS(AND(LEN('Special Help Table'!$A925)-(LEN(SUBSTITUTE('Special Help Table'!$A925,";","")))=0,LEN('Special Help Table'!$A925)-LEN(SUBSTITUTE('Special Help Table'!$A925,",",""))=1,LEN('Special Help Table'!$A925)-LEN(SUBSTITUTE('Special Help Table'!$A925,"and ",""))=0),MID('Special Help Table'!$A925&amp;" "&amp;'Special Help Table'!$A925,SEARCH(", ",'Special Help Table'!$A925)+1,LEN('Special Help Table'!$A925)),AND(LEN('Special Help Table'!$A925)-(LEN(SUBSTITUTE('Special Help Table'!$A925,";","")))=1,LEN('Special Help Table'!$A925)-LEN(SUBSTITUTE('Special Help Table'!$A925,"and ",""))=0),MID('Special Help Table'!$A925,SEARCH(",",'Special Help Table'!$A925)+1,(SEARCH(";",'Special Help Table'!$A925)-1)-SEARCH(",",'Special Help Table'!$A925))&amp;" "&amp;LEFT('Special Help Table'!$A925,SEARCH(",",'Special Help Table'!$A925)-1)&amp;";"&amp;RIGHT('Special Help Table'!$A925,LEN('Special Help Table'!$A925)-SEARCH(",",'Special Help Table'!$A925,SEARCH(";",'Special Help Table'!$A925)))&amp;" "&amp;MID('Special Help Table'!$A925,SEARCH("; ",'Special Help Table'!$A925)+2,SEARCH(",",'Special Help Table'!$A925,SEARCH(";",'Special Help Table'!$A925))-SEARCH(";",'Special Help Table'!$A925)-2),AND(LEN('Special Help Table'!$A925)-LEN(SUBSTITUTE('Special Help Table'!$A925,"and ",""))=0,LEN('Special Help Table'!$A925)-LEN(SUBSTITUTE('Special Help Table'!$A925,";",""))=0),'Special Help Table'!$A925,AND(LEN('Special Help Table'!$A925)-LEN(SUBSTITUTE('Special Help Table'!$A925,",","")=1),LEN('Special Help Table'!$A925)-LEN(SUBSTITUTE('Special Help Table'!$A925," ","")=20),LEN('Special Help Table'!$A925)-LEN(SUBSTITUTE('Special Help Table'!$A925," and",""))=0,LEN('Special Help Table'!$A925)-LEN(SUBSTITUTE('Special Help Table'!$A925,",","",FIND(" ",'Special Help Table'!$A925)+1))=0),RIGHT('Special Help Table'!$A925,LEN('Special Help Table'!$A925)-FIND(", ",'Special Help Table'!$A925))&amp;" "&amp;LEFT('Special Help Table'!$A925,FIND(",",'Special Help Table'!$A925)-1),AND(LEN('Special Help Table'!$A925)-LEN(SUBSTITUTE('Special Help Table'!$A925,"editor",""))=6,LEN('Special Help Table'!$A925)-LEN(SUBSTITUTE('Special Help Table'!$A925,"(",""))=0,LEN('Special Help Table'!$A925)-LEN(SUBSTITUTE('Special Help Table'!$A925,"and",""))=3,LEN('Special Help Table'!$A925)-LEN(SUBSTITUTE('Special Help Table'!$A925,",",""))=1,LEN('Special Help Table'!$A925)-LEN(SUBSTITUTE('Special Help Table'!$A925," ",""))=3),'Special Help Table'!$A925)</f>
        <v>0</v>
      </c>
      <c r="C925" s="4" t="s">
        <v>1620</v>
      </c>
      <c r="D925" s="2"/>
      <c r="E925" s="2" t="s">
        <v>1491</v>
      </c>
      <c r="F925" s="2"/>
      <c r="G925" s="2"/>
      <c r="H925" s="2"/>
      <c r="I925" s="2"/>
      <c r="J925" s="2"/>
      <c r="K925" s="3"/>
      <c r="L925" s="2"/>
      <c r="M925" s="2" t="s">
        <v>351</v>
      </c>
      <c r="N925" s="2" t="s">
        <v>1494</v>
      </c>
    </row>
    <row r="926" spans="1:14" ht="15.75" customHeight="1" x14ac:dyDescent="0.35">
      <c r="A926" s="2"/>
      <c r="B926" s="2" cm="1">
        <f t="array" ref="B926">_xlfn.IFS(AND(LEN('Special Help Table'!$A926)-(LEN(SUBSTITUTE('Special Help Table'!$A926,";","")))=0,LEN('Special Help Table'!$A926)-LEN(SUBSTITUTE('Special Help Table'!$A926,",",""))=1,LEN('Special Help Table'!$A926)-LEN(SUBSTITUTE('Special Help Table'!$A926,"and ",""))=0),MID('Special Help Table'!$A926&amp;" "&amp;'Special Help Table'!$A926,SEARCH(", ",'Special Help Table'!$A926)+1,LEN('Special Help Table'!$A926)),AND(LEN('Special Help Table'!$A926)-(LEN(SUBSTITUTE('Special Help Table'!$A926,";","")))=1,LEN('Special Help Table'!$A926)-LEN(SUBSTITUTE('Special Help Table'!$A926,"and ",""))=0),MID('Special Help Table'!$A926,SEARCH(",",'Special Help Table'!$A926)+1,(SEARCH(";",'Special Help Table'!$A926)-1)-SEARCH(",",'Special Help Table'!$A926))&amp;" "&amp;LEFT('Special Help Table'!$A926,SEARCH(",",'Special Help Table'!$A926)-1)&amp;";"&amp;RIGHT('Special Help Table'!$A926,LEN('Special Help Table'!$A926)-SEARCH(",",'Special Help Table'!$A926,SEARCH(";",'Special Help Table'!$A926)))&amp;" "&amp;MID('Special Help Table'!$A926,SEARCH("; ",'Special Help Table'!$A926)+2,SEARCH(",",'Special Help Table'!$A926,SEARCH(";",'Special Help Table'!$A926))-SEARCH(";",'Special Help Table'!$A926)-2),AND(LEN('Special Help Table'!$A926)-LEN(SUBSTITUTE('Special Help Table'!$A926,"and ",""))=0,LEN('Special Help Table'!$A926)-LEN(SUBSTITUTE('Special Help Table'!$A926,";",""))=0),'Special Help Table'!$A926,AND(LEN('Special Help Table'!$A926)-LEN(SUBSTITUTE('Special Help Table'!$A926,",","")=1),LEN('Special Help Table'!$A926)-LEN(SUBSTITUTE('Special Help Table'!$A926," ","")=20),LEN('Special Help Table'!$A926)-LEN(SUBSTITUTE('Special Help Table'!$A926," and",""))=0,LEN('Special Help Table'!$A926)-LEN(SUBSTITUTE('Special Help Table'!$A926,",","",FIND(" ",'Special Help Table'!$A926)+1))=0),RIGHT('Special Help Table'!$A926,LEN('Special Help Table'!$A926)-FIND(", ",'Special Help Table'!$A926))&amp;" "&amp;LEFT('Special Help Table'!$A926,FIND(",",'Special Help Table'!$A926)-1),AND(LEN('Special Help Table'!$A926)-LEN(SUBSTITUTE('Special Help Table'!$A926,"editor",""))=6,LEN('Special Help Table'!$A926)-LEN(SUBSTITUTE('Special Help Table'!$A926,"(",""))=0,LEN('Special Help Table'!$A926)-LEN(SUBSTITUTE('Special Help Table'!$A926,"and",""))=3,LEN('Special Help Table'!$A926)-LEN(SUBSTITUTE('Special Help Table'!$A926,",",""))=1,LEN('Special Help Table'!$A926)-LEN(SUBSTITUTE('Special Help Table'!$A926," ",""))=3),'Special Help Table'!$A926)</f>
        <v>0</v>
      </c>
      <c r="C926" s="4" t="s">
        <v>1621</v>
      </c>
      <c r="D926" s="2"/>
      <c r="E926" s="2" t="s">
        <v>1491</v>
      </c>
      <c r="F926" s="2"/>
      <c r="G926" s="2"/>
      <c r="H926" s="2"/>
      <c r="I926" s="2"/>
      <c r="J926" s="2"/>
      <c r="K926" s="3">
        <v>42511</v>
      </c>
      <c r="L926" s="2"/>
      <c r="M926" s="2"/>
      <c r="N926" s="2" t="s">
        <v>1494</v>
      </c>
    </row>
    <row r="927" spans="1:14" ht="15.75" customHeight="1" x14ac:dyDescent="0.35">
      <c r="A927" s="2"/>
      <c r="B927" s="2" cm="1">
        <f t="array" ref="B927">_xlfn.IFS(AND(LEN('Special Help Table'!$A927)-(LEN(SUBSTITUTE('Special Help Table'!$A927,";","")))=0,LEN('Special Help Table'!$A927)-LEN(SUBSTITUTE('Special Help Table'!$A927,",",""))=1,LEN('Special Help Table'!$A927)-LEN(SUBSTITUTE('Special Help Table'!$A927,"and ",""))=0),MID('Special Help Table'!$A927&amp;" "&amp;'Special Help Table'!$A927,SEARCH(", ",'Special Help Table'!$A927)+1,LEN('Special Help Table'!$A927)),AND(LEN('Special Help Table'!$A927)-(LEN(SUBSTITUTE('Special Help Table'!$A927,";","")))=1,LEN('Special Help Table'!$A927)-LEN(SUBSTITUTE('Special Help Table'!$A927,"and ",""))=0),MID('Special Help Table'!$A927,SEARCH(",",'Special Help Table'!$A927)+1,(SEARCH(";",'Special Help Table'!$A927)-1)-SEARCH(",",'Special Help Table'!$A927))&amp;" "&amp;LEFT('Special Help Table'!$A927,SEARCH(",",'Special Help Table'!$A927)-1)&amp;";"&amp;RIGHT('Special Help Table'!$A927,LEN('Special Help Table'!$A927)-SEARCH(",",'Special Help Table'!$A927,SEARCH(";",'Special Help Table'!$A927)))&amp;" "&amp;MID('Special Help Table'!$A927,SEARCH("; ",'Special Help Table'!$A927)+2,SEARCH(",",'Special Help Table'!$A927,SEARCH(";",'Special Help Table'!$A927))-SEARCH(";",'Special Help Table'!$A927)-2),AND(LEN('Special Help Table'!$A927)-LEN(SUBSTITUTE('Special Help Table'!$A927,"and ",""))=0,LEN('Special Help Table'!$A927)-LEN(SUBSTITUTE('Special Help Table'!$A927,";",""))=0),'Special Help Table'!$A927,AND(LEN('Special Help Table'!$A927)-LEN(SUBSTITUTE('Special Help Table'!$A927,",","")=1),LEN('Special Help Table'!$A927)-LEN(SUBSTITUTE('Special Help Table'!$A927," ","")=20),LEN('Special Help Table'!$A927)-LEN(SUBSTITUTE('Special Help Table'!$A927," and",""))=0,LEN('Special Help Table'!$A927)-LEN(SUBSTITUTE('Special Help Table'!$A927,",","",FIND(" ",'Special Help Table'!$A927)+1))=0),RIGHT('Special Help Table'!$A927,LEN('Special Help Table'!$A927)-FIND(", ",'Special Help Table'!$A927))&amp;" "&amp;LEFT('Special Help Table'!$A927,FIND(",",'Special Help Table'!$A927)-1),AND(LEN('Special Help Table'!$A927)-LEN(SUBSTITUTE('Special Help Table'!$A927,"editor",""))=6,LEN('Special Help Table'!$A927)-LEN(SUBSTITUTE('Special Help Table'!$A927,"(",""))=0,LEN('Special Help Table'!$A927)-LEN(SUBSTITUTE('Special Help Table'!$A927,"and",""))=3,LEN('Special Help Table'!$A927)-LEN(SUBSTITUTE('Special Help Table'!$A927,",",""))=1,LEN('Special Help Table'!$A927)-LEN(SUBSTITUTE('Special Help Table'!$A927," ",""))=3),'Special Help Table'!$A927)</f>
        <v>0</v>
      </c>
      <c r="C927" s="4" t="s">
        <v>1622</v>
      </c>
      <c r="D927" s="2"/>
      <c r="E927" s="2" t="s">
        <v>1491</v>
      </c>
      <c r="F927" s="2"/>
      <c r="G927" s="2"/>
      <c r="H927" s="2"/>
      <c r="I927" s="2"/>
      <c r="J927" s="2"/>
      <c r="K927" s="3">
        <v>42019</v>
      </c>
      <c r="L927" s="2"/>
      <c r="M927" s="2"/>
      <c r="N927" s="2" t="s">
        <v>1494</v>
      </c>
    </row>
    <row r="928" spans="1:14" ht="15.75" customHeight="1" x14ac:dyDescent="0.35">
      <c r="A928" s="2"/>
      <c r="B928" s="2" cm="1">
        <f t="array" ref="B928">_xlfn.IFS(AND(LEN('Special Help Table'!$A928)-(LEN(SUBSTITUTE('Special Help Table'!$A928,";","")))=0,LEN('Special Help Table'!$A928)-LEN(SUBSTITUTE('Special Help Table'!$A928,",",""))=1,LEN('Special Help Table'!$A928)-LEN(SUBSTITUTE('Special Help Table'!$A928,"and ",""))=0),MID('Special Help Table'!$A928&amp;" "&amp;'Special Help Table'!$A928,SEARCH(", ",'Special Help Table'!$A928)+1,LEN('Special Help Table'!$A928)),AND(LEN('Special Help Table'!$A928)-(LEN(SUBSTITUTE('Special Help Table'!$A928,";","")))=1,LEN('Special Help Table'!$A928)-LEN(SUBSTITUTE('Special Help Table'!$A928,"and ",""))=0),MID('Special Help Table'!$A928,SEARCH(",",'Special Help Table'!$A928)+1,(SEARCH(";",'Special Help Table'!$A928)-1)-SEARCH(",",'Special Help Table'!$A928))&amp;" "&amp;LEFT('Special Help Table'!$A928,SEARCH(",",'Special Help Table'!$A928)-1)&amp;";"&amp;RIGHT('Special Help Table'!$A928,LEN('Special Help Table'!$A928)-SEARCH(",",'Special Help Table'!$A928,SEARCH(";",'Special Help Table'!$A928)))&amp;" "&amp;MID('Special Help Table'!$A928,SEARCH("; ",'Special Help Table'!$A928)+2,SEARCH(",",'Special Help Table'!$A928,SEARCH(";",'Special Help Table'!$A928))-SEARCH(";",'Special Help Table'!$A928)-2),AND(LEN('Special Help Table'!$A928)-LEN(SUBSTITUTE('Special Help Table'!$A928,"and ",""))=0,LEN('Special Help Table'!$A928)-LEN(SUBSTITUTE('Special Help Table'!$A928,";",""))=0),'Special Help Table'!$A928,AND(LEN('Special Help Table'!$A928)-LEN(SUBSTITUTE('Special Help Table'!$A928,",","")=1),LEN('Special Help Table'!$A928)-LEN(SUBSTITUTE('Special Help Table'!$A928," ","")=20),LEN('Special Help Table'!$A928)-LEN(SUBSTITUTE('Special Help Table'!$A928," and",""))=0,LEN('Special Help Table'!$A928)-LEN(SUBSTITUTE('Special Help Table'!$A928,",","",FIND(" ",'Special Help Table'!$A928)+1))=0),RIGHT('Special Help Table'!$A928,LEN('Special Help Table'!$A928)-FIND(", ",'Special Help Table'!$A928))&amp;" "&amp;LEFT('Special Help Table'!$A928,FIND(",",'Special Help Table'!$A928)-1),AND(LEN('Special Help Table'!$A928)-LEN(SUBSTITUTE('Special Help Table'!$A928,"editor",""))=6,LEN('Special Help Table'!$A928)-LEN(SUBSTITUTE('Special Help Table'!$A928,"(",""))=0,LEN('Special Help Table'!$A928)-LEN(SUBSTITUTE('Special Help Table'!$A928,"and",""))=3,LEN('Special Help Table'!$A928)-LEN(SUBSTITUTE('Special Help Table'!$A928,",",""))=1,LEN('Special Help Table'!$A928)-LEN(SUBSTITUTE('Special Help Table'!$A928," ",""))=3),'Special Help Table'!$A928)</f>
        <v>0</v>
      </c>
      <c r="C928" s="4" t="s">
        <v>1623</v>
      </c>
      <c r="D928" s="2"/>
      <c r="E928" s="2" t="s">
        <v>1491</v>
      </c>
      <c r="F928" s="2"/>
      <c r="G928" s="2"/>
      <c r="H928" s="2"/>
      <c r="I928" s="2"/>
      <c r="J928" s="2"/>
      <c r="K928" s="3">
        <v>44578</v>
      </c>
      <c r="L928" s="2"/>
      <c r="M928" s="2"/>
      <c r="N928" s="2" t="s">
        <v>1494</v>
      </c>
    </row>
    <row r="929" spans="1:14" ht="15.75" customHeight="1" x14ac:dyDescent="0.35">
      <c r="A929" s="2"/>
      <c r="B929" s="2" cm="1">
        <f t="array" ref="B929">_xlfn.IFS(AND(LEN('Special Help Table'!$A929)-(LEN(SUBSTITUTE('Special Help Table'!$A929,";","")))=0,LEN('Special Help Table'!$A929)-LEN(SUBSTITUTE('Special Help Table'!$A929,",",""))=1,LEN('Special Help Table'!$A929)-LEN(SUBSTITUTE('Special Help Table'!$A929,"and ",""))=0),MID('Special Help Table'!$A929&amp;" "&amp;'Special Help Table'!$A929,SEARCH(", ",'Special Help Table'!$A929)+1,LEN('Special Help Table'!$A929)),AND(LEN('Special Help Table'!$A929)-(LEN(SUBSTITUTE('Special Help Table'!$A929,";","")))=1,LEN('Special Help Table'!$A929)-LEN(SUBSTITUTE('Special Help Table'!$A929,"and ",""))=0),MID('Special Help Table'!$A929,SEARCH(",",'Special Help Table'!$A929)+1,(SEARCH(";",'Special Help Table'!$A929)-1)-SEARCH(",",'Special Help Table'!$A929))&amp;" "&amp;LEFT('Special Help Table'!$A929,SEARCH(",",'Special Help Table'!$A929)-1)&amp;";"&amp;RIGHT('Special Help Table'!$A929,LEN('Special Help Table'!$A929)-SEARCH(",",'Special Help Table'!$A929,SEARCH(";",'Special Help Table'!$A929)))&amp;" "&amp;MID('Special Help Table'!$A929,SEARCH("; ",'Special Help Table'!$A929)+2,SEARCH(",",'Special Help Table'!$A929,SEARCH(";",'Special Help Table'!$A929))-SEARCH(";",'Special Help Table'!$A929)-2),AND(LEN('Special Help Table'!$A929)-LEN(SUBSTITUTE('Special Help Table'!$A929,"and ",""))=0,LEN('Special Help Table'!$A929)-LEN(SUBSTITUTE('Special Help Table'!$A929,";",""))=0),'Special Help Table'!$A929,AND(LEN('Special Help Table'!$A929)-LEN(SUBSTITUTE('Special Help Table'!$A929,",","")=1),LEN('Special Help Table'!$A929)-LEN(SUBSTITUTE('Special Help Table'!$A929," ","")=20),LEN('Special Help Table'!$A929)-LEN(SUBSTITUTE('Special Help Table'!$A929," and",""))=0,LEN('Special Help Table'!$A929)-LEN(SUBSTITUTE('Special Help Table'!$A929,",","",FIND(" ",'Special Help Table'!$A929)+1))=0),RIGHT('Special Help Table'!$A929,LEN('Special Help Table'!$A929)-FIND(", ",'Special Help Table'!$A929))&amp;" "&amp;LEFT('Special Help Table'!$A929,FIND(",",'Special Help Table'!$A929)-1),AND(LEN('Special Help Table'!$A929)-LEN(SUBSTITUTE('Special Help Table'!$A929,"editor",""))=6,LEN('Special Help Table'!$A929)-LEN(SUBSTITUTE('Special Help Table'!$A929,"(",""))=0,LEN('Special Help Table'!$A929)-LEN(SUBSTITUTE('Special Help Table'!$A929,"and",""))=3,LEN('Special Help Table'!$A929)-LEN(SUBSTITUTE('Special Help Table'!$A929,",",""))=1,LEN('Special Help Table'!$A929)-LEN(SUBSTITUTE('Special Help Table'!$A929," ",""))=3),'Special Help Table'!$A929)</f>
        <v>0</v>
      </c>
      <c r="C929" s="4" t="s">
        <v>1624</v>
      </c>
      <c r="D929" s="2"/>
      <c r="E929" s="2" t="s">
        <v>1491</v>
      </c>
      <c r="F929" s="2"/>
      <c r="G929" s="2"/>
      <c r="H929" s="2"/>
      <c r="I929" s="2"/>
      <c r="J929" s="2"/>
      <c r="K929" s="3">
        <v>43704</v>
      </c>
      <c r="L929" s="2"/>
      <c r="M929" s="2"/>
      <c r="N929" s="2" t="s">
        <v>1494</v>
      </c>
    </row>
    <row r="930" spans="1:14" ht="15.75" customHeight="1" x14ac:dyDescent="0.35">
      <c r="A930" s="2"/>
      <c r="B930" s="2" cm="1">
        <f t="array" ref="B930">_xlfn.IFS(AND(LEN('Special Help Table'!$A930)-(LEN(SUBSTITUTE('Special Help Table'!$A930,";","")))=0,LEN('Special Help Table'!$A930)-LEN(SUBSTITUTE('Special Help Table'!$A930,",",""))=1,LEN('Special Help Table'!$A930)-LEN(SUBSTITUTE('Special Help Table'!$A930,"and ",""))=0),MID('Special Help Table'!$A930&amp;" "&amp;'Special Help Table'!$A930,SEARCH(", ",'Special Help Table'!$A930)+1,LEN('Special Help Table'!$A930)),AND(LEN('Special Help Table'!$A930)-(LEN(SUBSTITUTE('Special Help Table'!$A930,";","")))=1,LEN('Special Help Table'!$A930)-LEN(SUBSTITUTE('Special Help Table'!$A930,"and ",""))=0),MID('Special Help Table'!$A930,SEARCH(",",'Special Help Table'!$A930)+1,(SEARCH(";",'Special Help Table'!$A930)-1)-SEARCH(",",'Special Help Table'!$A930))&amp;" "&amp;LEFT('Special Help Table'!$A930,SEARCH(",",'Special Help Table'!$A930)-1)&amp;";"&amp;RIGHT('Special Help Table'!$A930,LEN('Special Help Table'!$A930)-SEARCH(",",'Special Help Table'!$A930,SEARCH(";",'Special Help Table'!$A930)))&amp;" "&amp;MID('Special Help Table'!$A930,SEARCH("; ",'Special Help Table'!$A930)+2,SEARCH(",",'Special Help Table'!$A930,SEARCH(";",'Special Help Table'!$A930))-SEARCH(";",'Special Help Table'!$A930)-2),AND(LEN('Special Help Table'!$A930)-LEN(SUBSTITUTE('Special Help Table'!$A930,"and ",""))=0,LEN('Special Help Table'!$A930)-LEN(SUBSTITUTE('Special Help Table'!$A930,";",""))=0),'Special Help Table'!$A930,AND(LEN('Special Help Table'!$A930)-LEN(SUBSTITUTE('Special Help Table'!$A930,",","")=1),LEN('Special Help Table'!$A930)-LEN(SUBSTITUTE('Special Help Table'!$A930," ","")=20),LEN('Special Help Table'!$A930)-LEN(SUBSTITUTE('Special Help Table'!$A930," and",""))=0,LEN('Special Help Table'!$A930)-LEN(SUBSTITUTE('Special Help Table'!$A930,",","",FIND(" ",'Special Help Table'!$A930)+1))=0),RIGHT('Special Help Table'!$A930,LEN('Special Help Table'!$A930)-FIND(", ",'Special Help Table'!$A930))&amp;" "&amp;LEFT('Special Help Table'!$A930,FIND(",",'Special Help Table'!$A930)-1),AND(LEN('Special Help Table'!$A930)-LEN(SUBSTITUTE('Special Help Table'!$A930,"editor",""))=6,LEN('Special Help Table'!$A930)-LEN(SUBSTITUTE('Special Help Table'!$A930,"(",""))=0,LEN('Special Help Table'!$A930)-LEN(SUBSTITUTE('Special Help Table'!$A930,"and",""))=3,LEN('Special Help Table'!$A930)-LEN(SUBSTITUTE('Special Help Table'!$A930,",",""))=1,LEN('Special Help Table'!$A930)-LEN(SUBSTITUTE('Special Help Table'!$A930," ",""))=3),'Special Help Table'!$A930)</f>
        <v>0</v>
      </c>
      <c r="C930" s="4" t="s">
        <v>1625</v>
      </c>
      <c r="D930" s="2"/>
      <c r="E930" s="2" t="s">
        <v>1491</v>
      </c>
      <c r="F930" s="2"/>
      <c r="G930" s="2"/>
      <c r="H930" s="2"/>
      <c r="I930" s="2"/>
      <c r="J930" s="2"/>
      <c r="K930" s="3"/>
      <c r="L930" s="2"/>
      <c r="M930" s="2"/>
      <c r="N930" s="2" t="s">
        <v>1494</v>
      </c>
    </row>
    <row r="931" spans="1:14" ht="15.75" customHeight="1" x14ac:dyDescent="0.35">
      <c r="A931" s="2"/>
      <c r="B931" s="2" cm="1">
        <f t="array" ref="B931">_xlfn.IFS(AND(LEN('Special Help Table'!$A931)-(LEN(SUBSTITUTE('Special Help Table'!$A931,";","")))=0,LEN('Special Help Table'!$A931)-LEN(SUBSTITUTE('Special Help Table'!$A931,",",""))=1,LEN('Special Help Table'!$A931)-LEN(SUBSTITUTE('Special Help Table'!$A931,"and ",""))=0),MID('Special Help Table'!$A931&amp;" "&amp;'Special Help Table'!$A931,SEARCH(", ",'Special Help Table'!$A931)+1,LEN('Special Help Table'!$A931)),AND(LEN('Special Help Table'!$A931)-(LEN(SUBSTITUTE('Special Help Table'!$A931,";","")))=1,LEN('Special Help Table'!$A931)-LEN(SUBSTITUTE('Special Help Table'!$A931,"and ",""))=0),MID('Special Help Table'!$A931,SEARCH(",",'Special Help Table'!$A931)+1,(SEARCH(";",'Special Help Table'!$A931)-1)-SEARCH(",",'Special Help Table'!$A931))&amp;" "&amp;LEFT('Special Help Table'!$A931,SEARCH(",",'Special Help Table'!$A931)-1)&amp;";"&amp;RIGHT('Special Help Table'!$A931,LEN('Special Help Table'!$A931)-SEARCH(",",'Special Help Table'!$A931,SEARCH(";",'Special Help Table'!$A931)))&amp;" "&amp;MID('Special Help Table'!$A931,SEARCH("; ",'Special Help Table'!$A931)+2,SEARCH(",",'Special Help Table'!$A931,SEARCH(";",'Special Help Table'!$A931))-SEARCH(";",'Special Help Table'!$A931)-2),AND(LEN('Special Help Table'!$A931)-LEN(SUBSTITUTE('Special Help Table'!$A931,"and ",""))=0,LEN('Special Help Table'!$A931)-LEN(SUBSTITUTE('Special Help Table'!$A931,";",""))=0),'Special Help Table'!$A931,AND(LEN('Special Help Table'!$A931)-LEN(SUBSTITUTE('Special Help Table'!$A931,",","")=1),LEN('Special Help Table'!$A931)-LEN(SUBSTITUTE('Special Help Table'!$A931," ","")=20),LEN('Special Help Table'!$A931)-LEN(SUBSTITUTE('Special Help Table'!$A931," and",""))=0,LEN('Special Help Table'!$A931)-LEN(SUBSTITUTE('Special Help Table'!$A931,",","",FIND(" ",'Special Help Table'!$A931)+1))=0),RIGHT('Special Help Table'!$A931,LEN('Special Help Table'!$A931)-FIND(", ",'Special Help Table'!$A931))&amp;" "&amp;LEFT('Special Help Table'!$A931,FIND(",",'Special Help Table'!$A931)-1),AND(LEN('Special Help Table'!$A931)-LEN(SUBSTITUTE('Special Help Table'!$A931,"editor",""))=6,LEN('Special Help Table'!$A931)-LEN(SUBSTITUTE('Special Help Table'!$A931,"(",""))=0,LEN('Special Help Table'!$A931)-LEN(SUBSTITUTE('Special Help Table'!$A931,"and",""))=3,LEN('Special Help Table'!$A931)-LEN(SUBSTITUTE('Special Help Table'!$A931,",",""))=1,LEN('Special Help Table'!$A931)-LEN(SUBSTITUTE('Special Help Table'!$A931," ",""))=3),'Special Help Table'!$A931)</f>
        <v>0</v>
      </c>
      <c r="C931" s="4" t="s">
        <v>1626</v>
      </c>
      <c r="D931" s="2"/>
      <c r="E931" s="2" t="s">
        <v>1491</v>
      </c>
      <c r="F931" s="2"/>
      <c r="G931" s="2"/>
      <c r="H931" s="2"/>
      <c r="I931" s="2"/>
      <c r="J931" s="2"/>
      <c r="K931" s="3">
        <v>43910</v>
      </c>
      <c r="L931" s="2"/>
      <c r="M931" s="2"/>
      <c r="N931" s="2" t="s">
        <v>1494</v>
      </c>
    </row>
    <row r="932" spans="1:14" ht="15.75" customHeight="1" x14ac:dyDescent="0.35">
      <c r="A932" s="2"/>
      <c r="B932" s="2" cm="1">
        <f t="array" ref="B932">_xlfn.IFS(AND(LEN('Special Help Table'!$A932)-(LEN(SUBSTITUTE('Special Help Table'!$A932,";","")))=0,LEN('Special Help Table'!$A932)-LEN(SUBSTITUTE('Special Help Table'!$A932,",",""))=1,LEN('Special Help Table'!$A932)-LEN(SUBSTITUTE('Special Help Table'!$A932,"and ",""))=0),MID('Special Help Table'!$A932&amp;" "&amp;'Special Help Table'!$A932,SEARCH(", ",'Special Help Table'!$A932)+1,LEN('Special Help Table'!$A932)),AND(LEN('Special Help Table'!$A932)-(LEN(SUBSTITUTE('Special Help Table'!$A932,";","")))=1,LEN('Special Help Table'!$A932)-LEN(SUBSTITUTE('Special Help Table'!$A932,"and ",""))=0),MID('Special Help Table'!$A932,SEARCH(",",'Special Help Table'!$A932)+1,(SEARCH(";",'Special Help Table'!$A932)-1)-SEARCH(",",'Special Help Table'!$A932))&amp;" "&amp;LEFT('Special Help Table'!$A932,SEARCH(",",'Special Help Table'!$A932)-1)&amp;";"&amp;RIGHT('Special Help Table'!$A932,LEN('Special Help Table'!$A932)-SEARCH(",",'Special Help Table'!$A932,SEARCH(";",'Special Help Table'!$A932)))&amp;" "&amp;MID('Special Help Table'!$A932,SEARCH("; ",'Special Help Table'!$A932)+2,SEARCH(",",'Special Help Table'!$A932,SEARCH(";",'Special Help Table'!$A932))-SEARCH(";",'Special Help Table'!$A932)-2),AND(LEN('Special Help Table'!$A932)-LEN(SUBSTITUTE('Special Help Table'!$A932,"and ",""))=0,LEN('Special Help Table'!$A932)-LEN(SUBSTITUTE('Special Help Table'!$A932,";",""))=0),'Special Help Table'!$A932,AND(LEN('Special Help Table'!$A932)-LEN(SUBSTITUTE('Special Help Table'!$A932,",","")=1),LEN('Special Help Table'!$A932)-LEN(SUBSTITUTE('Special Help Table'!$A932," ","")=20),LEN('Special Help Table'!$A932)-LEN(SUBSTITUTE('Special Help Table'!$A932," and",""))=0,LEN('Special Help Table'!$A932)-LEN(SUBSTITUTE('Special Help Table'!$A932,",","",FIND(" ",'Special Help Table'!$A932)+1))=0),RIGHT('Special Help Table'!$A932,LEN('Special Help Table'!$A932)-FIND(", ",'Special Help Table'!$A932))&amp;" "&amp;LEFT('Special Help Table'!$A932,FIND(",",'Special Help Table'!$A932)-1),AND(LEN('Special Help Table'!$A932)-LEN(SUBSTITUTE('Special Help Table'!$A932,"editor",""))=6,LEN('Special Help Table'!$A932)-LEN(SUBSTITUTE('Special Help Table'!$A932,"(",""))=0,LEN('Special Help Table'!$A932)-LEN(SUBSTITUTE('Special Help Table'!$A932,"and",""))=3,LEN('Special Help Table'!$A932)-LEN(SUBSTITUTE('Special Help Table'!$A932,",",""))=1,LEN('Special Help Table'!$A932)-LEN(SUBSTITUTE('Special Help Table'!$A932," ",""))=3),'Special Help Table'!$A932)</f>
        <v>0</v>
      </c>
      <c r="C932" s="4" t="s">
        <v>1627</v>
      </c>
      <c r="D932" s="2"/>
      <c r="E932" s="2" t="s">
        <v>1491</v>
      </c>
      <c r="F932" s="2"/>
      <c r="G932" s="2"/>
      <c r="H932" s="2"/>
      <c r="I932" s="2"/>
      <c r="J932" s="2"/>
      <c r="K932" s="3">
        <v>42019</v>
      </c>
      <c r="L932" s="2"/>
      <c r="M932" s="2"/>
      <c r="N932" s="2" t="s">
        <v>1494</v>
      </c>
    </row>
    <row r="933" spans="1:14" ht="15.75" customHeight="1" x14ac:dyDescent="0.35">
      <c r="A933" s="2"/>
      <c r="B933" s="2" cm="1">
        <f t="array" ref="B933">_xlfn.IFS(AND(LEN('Special Help Table'!$A933)-(LEN(SUBSTITUTE('Special Help Table'!$A933,";","")))=0,LEN('Special Help Table'!$A933)-LEN(SUBSTITUTE('Special Help Table'!$A933,",",""))=1,LEN('Special Help Table'!$A933)-LEN(SUBSTITUTE('Special Help Table'!$A933,"and ",""))=0),MID('Special Help Table'!$A933&amp;" "&amp;'Special Help Table'!$A933,SEARCH(", ",'Special Help Table'!$A933)+1,LEN('Special Help Table'!$A933)),AND(LEN('Special Help Table'!$A933)-(LEN(SUBSTITUTE('Special Help Table'!$A933,";","")))=1,LEN('Special Help Table'!$A933)-LEN(SUBSTITUTE('Special Help Table'!$A933,"and ",""))=0),MID('Special Help Table'!$A933,SEARCH(",",'Special Help Table'!$A933)+1,(SEARCH(";",'Special Help Table'!$A933)-1)-SEARCH(",",'Special Help Table'!$A933))&amp;" "&amp;LEFT('Special Help Table'!$A933,SEARCH(",",'Special Help Table'!$A933)-1)&amp;";"&amp;RIGHT('Special Help Table'!$A933,LEN('Special Help Table'!$A933)-SEARCH(",",'Special Help Table'!$A933,SEARCH(";",'Special Help Table'!$A933)))&amp;" "&amp;MID('Special Help Table'!$A933,SEARCH("; ",'Special Help Table'!$A933)+2,SEARCH(",",'Special Help Table'!$A933,SEARCH(";",'Special Help Table'!$A933))-SEARCH(";",'Special Help Table'!$A933)-2),AND(LEN('Special Help Table'!$A933)-LEN(SUBSTITUTE('Special Help Table'!$A933,"and ",""))=0,LEN('Special Help Table'!$A933)-LEN(SUBSTITUTE('Special Help Table'!$A933,";",""))=0),'Special Help Table'!$A933,AND(LEN('Special Help Table'!$A933)-LEN(SUBSTITUTE('Special Help Table'!$A933,",","")=1),LEN('Special Help Table'!$A933)-LEN(SUBSTITUTE('Special Help Table'!$A933," ","")=20),LEN('Special Help Table'!$A933)-LEN(SUBSTITUTE('Special Help Table'!$A933," and",""))=0,LEN('Special Help Table'!$A933)-LEN(SUBSTITUTE('Special Help Table'!$A933,",","",FIND(" ",'Special Help Table'!$A933)+1))=0),RIGHT('Special Help Table'!$A933,LEN('Special Help Table'!$A933)-FIND(", ",'Special Help Table'!$A933))&amp;" "&amp;LEFT('Special Help Table'!$A933,FIND(",",'Special Help Table'!$A933)-1),AND(LEN('Special Help Table'!$A933)-LEN(SUBSTITUTE('Special Help Table'!$A933,"editor",""))=6,LEN('Special Help Table'!$A933)-LEN(SUBSTITUTE('Special Help Table'!$A933,"(",""))=0,LEN('Special Help Table'!$A933)-LEN(SUBSTITUTE('Special Help Table'!$A933,"and",""))=3,LEN('Special Help Table'!$A933)-LEN(SUBSTITUTE('Special Help Table'!$A933,",",""))=1,LEN('Special Help Table'!$A933)-LEN(SUBSTITUTE('Special Help Table'!$A933," ",""))=3),'Special Help Table'!$A933)</f>
        <v>0</v>
      </c>
      <c r="C933" s="4" t="s">
        <v>1628</v>
      </c>
      <c r="D933" s="2"/>
      <c r="E933" s="2" t="s">
        <v>1491</v>
      </c>
      <c r="F933" s="2"/>
      <c r="G933" s="2"/>
      <c r="H933" s="2"/>
      <c r="I933" s="2"/>
      <c r="J933" s="2"/>
      <c r="K933" s="3">
        <v>42019</v>
      </c>
      <c r="L933" s="2"/>
      <c r="M933" s="2"/>
      <c r="N933" s="2" t="s">
        <v>1494</v>
      </c>
    </row>
    <row r="934" spans="1:14" ht="15.75" customHeight="1" x14ac:dyDescent="0.35">
      <c r="A934" s="2"/>
      <c r="B934" s="2" cm="1">
        <f t="array" ref="B934">_xlfn.IFS(AND(LEN('Special Help Table'!$A934)-(LEN(SUBSTITUTE('Special Help Table'!$A934,";","")))=0,LEN('Special Help Table'!$A934)-LEN(SUBSTITUTE('Special Help Table'!$A934,",",""))=1,LEN('Special Help Table'!$A934)-LEN(SUBSTITUTE('Special Help Table'!$A934,"and ",""))=0),MID('Special Help Table'!$A934&amp;" "&amp;'Special Help Table'!$A934,SEARCH(", ",'Special Help Table'!$A934)+1,LEN('Special Help Table'!$A934)),AND(LEN('Special Help Table'!$A934)-(LEN(SUBSTITUTE('Special Help Table'!$A934,";","")))=1,LEN('Special Help Table'!$A934)-LEN(SUBSTITUTE('Special Help Table'!$A934,"and ",""))=0),MID('Special Help Table'!$A934,SEARCH(",",'Special Help Table'!$A934)+1,(SEARCH(";",'Special Help Table'!$A934)-1)-SEARCH(",",'Special Help Table'!$A934))&amp;" "&amp;LEFT('Special Help Table'!$A934,SEARCH(",",'Special Help Table'!$A934)-1)&amp;";"&amp;RIGHT('Special Help Table'!$A934,LEN('Special Help Table'!$A934)-SEARCH(",",'Special Help Table'!$A934,SEARCH(";",'Special Help Table'!$A934)))&amp;" "&amp;MID('Special Help Table'!$A934,SEARCH("; ",'Special Help Table'!$A934)+2,SEARCH(",",'Special Help Table'!$A934,SEARCH(";",'Special Help Table'!$A934))-SEARCH(";",'Special Help Table'!$A934)-2),AND(LEN('Special Help Table'!$A934)-LEN(SUBSTITUTE('Special Help Table'!$A934,"and ",""))=0,LEN('Special Help Table'!$A934)-LEN(SUBSTITUTE('Special Help Table'!$A934,";",""))=0),'Special Help Table'!$A934,AND(LEN('Special Help Table'!$A934)-LEN(SUBSTITUTE('Special Help Table'!$A934,",","")=1),LEN('Special Help Table'!$A934)-LEN(SUBSTITUTE('Special Help Table'!$A934," ","")=20),LEN('Special Help Table'!$A934)-LEN(SUBSTITUTE('Special Help Table'!$A934," and",""))=0,LEN('Special Help Table'!$A934)-LEN(SUBSTITUTE('Special Help Table'!$A934,",","",FIND(" ",'Special Help Table'!$A934)+1))=0),RIGHT('Special Help Table'!$A934,LEN('Special Help Table'!$A934)-FIND(", ",'Special Help Table'!$A934))&amp;" "&amp;LEFT('Special Help Table'!$A934,FIND(",",'Special Help Table'!$A934)-1),AND(LEN('Special Help Table'!$A934)-LEN(SUBSTITUTE('Special Help Table'!$A934,"editor",""))=6,LEN('Special Help Table'!$A934)-LEN(SUBSTITUTE('Special Help Table'!$A934,"(",""))=0,LEN('Special Help Table'!$A934)-LEN(SUBSTITUTE('Special Help Table'!$A934,"and",""))=3,LEN('Special Help Table'!$A934)-LEN(SUBSTITUTE('Special Help Table'!$A934,",",""))=1,LEN('Special Help Table'!$A934)-LEN(SUBSTITUTE('Special Help Table'!$A934," ",""))=3),'Special Help Table'!$A934)</f>
        <v>0</v>
      </c>
      <c r="C934" s="4" t="s">
        <v>214</v>
      </c>
      <c r="D934" s="2"/>
      <c r="E934" s="2" t="s">
        <v>1491</v>
      </c>
      <c r="F934" s="2"/>
      <c r="G934" s="2"/>
      <c r="H934" s="2"/>
      <c r="I934" s="2"/>
      <c r="J934" s="2"/>
      <c r="K934" s="3">
        <v>41986</v>
      </c>
      <c r="L934" s="2"/>
      <c r="M934" s="2"/>
      <c r="N934" s="2" t="s">
        <v>1494</v>
      </c>
    </row>
    <row r="935" spans="1:14" ht="15.75" customHeight="1" x14ac:dyDescent="0.35">
      <c r="A935" s="2"/>
      <c r="B935" s="2" cm="1">
        <f t="array" ref="B935">_xlfn.IFS(AND(LEN('Special Help Table'!$A935)-(LEN(SUBSTITUTE('Special Help Table'!$A935,";","")))=0,LEN('Special Help Table'!$A935)-LEN(SUBSTITUTE('Special Help Table'!$A935,",",""))=1,LEN('Special Help Table'!$A935)-LEN(SUBSTITUTE('Special Help Table'!$A935,"and ",""))=0),MID('Special Help Table'!$A935&amp;" "&amp;'Special Help Table'!$A935,SEARCH(", ",'Special Help Table'!$A935)+1,LEN('Special Help Table'!$A935)),AND(LEN('Special Help Table'!$A935)-(LEN(SUBSTITUTE('Special Help Table'!$A935,";","")))=1,LEN('Special Help Table'!$A935)-LEN(SUBSTITUTE('Special Help Table'!$A935,"and ",""))=0),MID('Special Help Table'!$A935,SEARCH(",",'Special Help Table'!$A935)+1,(SEARCH(";",'Special Help Table'!$A935)-1)-SEARCH(",",'Special Help Table'!$A935))&amp;" "&amp;LEFT('Special Help Table'!$A935,SEARCH(",",'Special Help Table'!$A935)-1)&amp;";"&amp;RIGHT('Special Help Table'!$A935,LEN('Special Help Table'!$A935)-SEARCH(",",'Special Help Table'!$A935,SEARCH(";",'Special Help Table'!$A935)))&amp;" "&amp;MID('Special Help Table'!$A935,SEARCH("; ",'Special Help Table'!$A935)+2,SEARCH(",",'Special Help Table'!$A935,SEARCH(";",'Special Help Table'!$A935))-SEARCH(";",'Special Help Table'!$A935)-2),AND(LEN('Special Help Table'!$A935)-LEN(SUBSTITUTE('Special Help Table'!$A935,"and ",""))=0,LEN('Special Help Table'!$A935)-LEN(SUBSTITUTE('Special Help Table'!$A935,";",""))=0),'Special Help Table'!$A935,AND(LEN('Special Help Table'!$A935)-LEN(SUBSTITUTE('Special Help Table'!$A935,",","")=1),LEN('Special Help Table'!$A935)-LEN(SUBSTITUTE('Special Help Table'!$A935," ","")=20),LEN('Special Help Table'!$A935)-LEN(SUBSTITUTE('Special Help Table'!$A935," and",""))=0,LEN('Special Help Table'!$A935)-LEN(SUBSTITUTE('Special Help Table'!$A935,",","",FIND(" ",'Special Help Table'!$A935)+1))=0),RIGHT('Special Help Table'!$A935,LEN('Special Help Table'!$A935)-FIND(", ",'Special Help Table'!$A935))&amp;" "&amp;LEFT('Special Help Table'!$A935,FIND(",",'Special Help Table'!$A935)-1),AND(LEN('Special Help Table'!$A935)-LEN(SUBSTITUTE('Special Help Table'!$A935,"editor",""))=6,LEN('Special Help Table'!$A935)-LEN(SUBSTITUTE('Special Help Table'!$A935,"(",""))=0,LEN('Special Help Table'!$A935)-LEN(SUBSTITUTE('Special Help Table'!$A935,"and",""))=3,LEN('Special Help Table'!$A935)-LEN(SUBSTITUTE('Special Help Table'!$A935,",",""))=1,LEN('Special Help Table'!$A935)-LEN(SUBSTITUTE('Special Help Table'!$A935," ",""))=3),'Special Help Table'!$A935)</f>
        <v>0</v>
      </c>
      <c r="C935" s="4" t="s">
        <v>1097</v>
      </c>
      <c r="D935" s="2"/>
      <c r="E935" s="2" t="s">
        <v>1491</v>
      </c>
      <c r="F935" s="2"/>
      <c r="G935" s="2"/>
      <c r="H935" s="2"/>
      <c r="I935" s="2"/>
      <c r="J935" s="2"/>
      <c r="K935" s="3">
        <v>43704</v>
      </c>
      <c r="L935" s="2"/>
      <c r="M935" s="2" t="s">
        <v>1088</v>
      </c>
      <c r="N935" s="2" t="s">
        <v>1494</v>
      </c>
    </row>
    <row r="936" spans="1:14" ht="15.75" customHeight="1" x14ac:dyDescent="0.35">
      <c r="A936" s="2"/>
      <c r="B936" s="2" cm="1">
        <f t="array" ref="B936">_xlfn.IFS(AND(LEN('Special Help Table'!$A936)-(LEN(SUBSTITUTE('Special Help Table'!$A936,";","")))=0,LEN('Special Help Table'!$A936)-LEN(SUBSTITUTE('Special Help Table'!$A936,",",""))=1,LEN('Special Help Table'!$A936)-LEN(SUBSTITUTE('Special Help Table'!$A936,"and ",""))=0),MID('Special Help Table'!$A936&amp;" "&amp;'Special Help Table'!$A936,SEARCH(", ",'Special Help Table'!$A936)+1,LEN('Special Help Table'!$A936)),AND(LEN('Special Help Table'!$A936)-(LEN(SUBSTITUTE('Special Help Table'!$A936,";","")))=1,LEN('Special Help Table'!$A936)-LEN(SUBSTITUTE('Special Help Table'!$A936,"and ",""))=0),MID('Special Help Table'!$A936,SEARCH(",",'Special Help Table'!$A936)+1,(SEARCH(";",'Special Help Table'!$A936)-1)-SEARCH(",",'Special Help Table'!$A936))&amp;" "&amp;LEFT('Special Help Table'!$A936,SEARCH(",",'Special Help Table'!$A936)-1)&amp;";"&amp;RIGHT('Special Help Table'!$A936,LEN('Special Help Table'!$A936)-SEARCH(",",'Special Help Table'!$A936,SEARCH(";",'Special Help Table'!$A936)))&amp;" "&amp;MID('Special Help Table'!$A936,SEARCH("; ",'Special Help Table'!$A936)+2,SEARCH(",",'Special Help Table'!$A936,SEARCH(";",'Special Help Table'!$A936))-SEARCH(";",'Special Help Table'!$A936)-2),AND(LEN('Special Help Table'!$A936)-LEN(SUBSTITUTE('Special Help Table'!$A936,"and ",""))=0,LEN('Special Help Table'!$A936)-LEN(SUBSTITUTE('Special Help Table'!$A936,";",""))=0),'Special Help Table'!$A936,AND(LEN('Special Help Table'!$A936)-LEN(SUBSTITUTE('Special Help Table'!$A936,",","")=1),LEN('Special Help Table'!$A936)-LEN(SUBSTITUTE('Special Help Table'!$A936," ","")=20),LEN('Special Help Table'!$A936)-LEN(SUBSTITUTE('Special Help Table'!$A936," and",""))=0,LEN('Special Help Table'!$A936)-LEN(SUBSTITUTE('Special Help Table'!$A936,",","",FIND(" ",'Special Help Table'!$A936)+1))=0),RIGHT('Special Help Table'!$A936,LEN('Special Help Table'!$A936)-FIND(", ",'Special Help Table'!$A936))&amp;" "&amp;LEFT('Special Help Table'!$A936,FIND(",",'Special Help Table'!$A936)-1),AND(LEN('Special Help Table'!$A936)-LEN(SUBSTITUTE('Special Help Table'!$A936,"editor",""))=6,LEN('Special Help Table'!$A936)-LEN(SUBSTITUTE('Special Help Table'!$A936,"(",""))=0,LEN('Special Help Table'!$A936)-LEN(SUBSTITUTE('Special Help Table'!$A936,"and",""))=3,LEN('Special Help Table'!$A936)-LEN(SUBSTITUTE('Special Help Table'!$A936,",",""))=1,LEN('Special Help Table'!$A936)-LEN(SUBSTITUTE('Special Help Table'!$A936," ",""))=3),'Special Help Table'!$A936)</f>
        <v>0</v>
      </c>
      <c r="C936" s="4" t="s">
        <v>1629</v>
      </c>
      <c r="D936" s="2"/>
      <c r="E936" s="2" t="s">
        <v>1491</v>
      </c>
      <c r="F936" s="2"/>
      <c r="G936" s="2"/>
      <c r="H936" s="2"/>
      <c r="I936" s="2"/>
      <c r="J936" s="2"/>
      <c r="K936" s="3">
        <v>41426</v>
      </c>
      <c r="L936" s="2"/>
      <c r="M936" s="2"/>
      <c r="N936" s="2" t="s">
        <v>1494</v>
      </c>
    </row>
    <row r="937" spans="1:14" ht="15.75" customHeight="1" x14ac:dyDescent="0.35">
      <c r="A937" s="2"/>
      <c r="B937" s="2" cm="1">
        <f t="array" ref="B937">_xlfn.IFS(AND(LEN('Special Help Table'!$A937)-(LEN(SUBSTITUTE('Special Help Table'!$A937,";","")))=0,LEN('Special Help Table'!$A937)-LEN(SUBSTITUTE('Special Help Table'!$A937,",",""))=1,LEN('Special Help Table'!$A937)-LEN(SUBSTITUTE('Special Help Table'!$A937,"and ",""))=0),MID('Special Help Table'!$A937&amp;" "&amp;'Special Help Table'!$A937,SEARCH(", ",'Special Help Table'!$A937)+1,LEN('Special Help Table'!$A937)),AND(LEN('Special Help Table'!$A937)-(LEN(SUBSTITUTE('Special Help Table'!$A937,";","")))=1,LEN('Special Help Table'!$A937)-LEN(SUBSTITUTE('Special Help Table'!$A937,"and ",""))=0),MID('Special Help Table'!$A937,SEARCH(",",'Special Help Table'!$A937)+1,(SEARCH(";",'Special Help Table'!$A937)-1)-SEARCH(",",'Special Help Table'!$A937))&amp;" "&amp;LEFT('Special Help Table'!$A937,SEARCH(",",'Special Help Table'!$A937)-1)&amp;";"&amp;RIGHT('Special Help Table'!$A937,LEN('Special Help Table'!$A937)-SEARCH(",",'Special Help Table'!$A937,SEARCH(";",'Special Help Table'!$A937)))&amp;" "&amp;MID('Special Help Table'!$A937,SEARCH("; ",'Special Help Table'!$A937)+2,SEARCH(",",'Special Help Table'!$A937,SEARCH(";",'Special Help Table'!$A937))-SEARCH(";",'Special Help Table'!$A937)-2),AND(LEN('Special Help Table'!$A937)-LEN(SUBSTITUTE('Special Help Table'!$A937,"and ",""))=0,LEN('Special Help Table'!$A937)-LEN(SUBSTITUTE('Special Help Table'!$A937,";",""))=0),'Special Help Table'!$A937,AND(LEN('Special Help Table'!$A937)-LEN(SUBSTITUTE('Special Help Table'!$A937,",","")=1),LEN('Special Help Table'!$A937)-LEN(SUBSTITUTE('Special Help Table'!$A937," ","")=20),LEN('Special Help Table'!$A937)-LEN(SUBSTITUTE('Special Help Table'!$A937," and",""))=0,LEN('Special Help Table'!$A937)-LEN(SUBSTITUTE('Special Help Table'!$A937,",","",FIND(" ",'Special Help Table'!$A937)+1))=0),RIGHT('Special Help Table'!$A937,LEN('Special Help Table'!$A937)-FIND(", ",'Special Help Table'!$A937))&amp;" "&amp;LEFT('Special Help Table'!$A937,FIND(",",'Special Help Table'!$A937)-1),AND(LEN('Special Help Table'!$A937)-LEN(SUBSTITUTE('Special Help Table'!$A937,"editor",""))=6,LEN('Special Help Table'!$A937)-LEN(SUBSTITUTE('Special Help Table'!$A937,"(",""))=0,LEN('Special Help Table'!$A937)-LEN(SUBSTITUTE('Special Help Table'!$A937,"and",""))=3,LEN('Special Help Table'!$A937)-LEN(SUBSTITUTE('Special Help Table'!$A937,",",""))=1,LEN('Special Help Table'!$A937)-LEN(SUBSTITUTE('Special Help Table'!$A937," ",""))=3),'Special Help Table'!$A937)</f>
        <v>0</v>
      </c>
      <c r="C937" s="4" t="s">
        <v>1630</v>
      </c>
      <c r="D937" s="2"/>
      <c r="E937" s="2" t="s">
        <v>1491</v>
      </c>
      <c r="F937" s="2"/>
      <c r="G937" s="2"/>
      <c r="H937" s="2"/>
      <c r="I937" s="2"/>
      <c r="J937" s="2"/>
      <c r="K937" s="3">
        <v>41773</v>
      </c>
      <c r="L937" s="2"/>
      <c r="M937" s="2"/>
      <c r="N937" s="2" t="s">
        <v>1494</v>
      </c>
    </row>
    <row r="938" spans="1:14" ht="15.75" customHeight="1" x14ac:dyDescent="0.35">
      <c r="A938" s="2"/>
      <c r="B938" s="2" cm="1">
        <f t="array" ref="B938">_xlfn.IFS(AND(LEN('Special Help Table'!$A938)-(LEN(SUBSTITUTE('Special Help Table'!$A938,";","")))=0,LEN('Special Help Table'!$A938)-LEN(SUBSTITUTE('Special Help Table'!$A938,",",""))=1,LEN('Special Help Table'!$A938)-LEN(SUBSTITUTE('Special Help Table'!$A938,"and ",""))=0),MID('Special Help Table'!$A938&amp;" "&amp;'Special Help Table'!$A938,SEARCH(", ",'Special Help Table'!$A938)+1,LEN('Special Help Table'!$A938)),AND(LEN('Special Help Table'!$A938)-(LEN(SUBSTITUTE('Special Help Table'!$A938,";","")))=1,LEN('Special Help Table'!$A938)-LEN(SUBSTITUTE('Special Help Table'!$A938,"and ",""))=0),MID('Special Help Table'!$A938,SEARCH(",",'Special Help Table'!$A938)+1,(SEARCH(";",'Special Help Table'!$A938)-1)-SEARCH(",",'Special Help Table'!$A938))&amp;" "&amp;LEFT('Special Help Table'!$A938,SEARCH(",",'Special Help Table'!$A938)-1)&amp;";"&amp;RIGHT('Special Help Table'!$A938,LEN('Special Help Table'!$A938)-SEARCH(",",'Special Help Table'!$A938,SEARCH(";",'Special Help Table'!$A938)))&amp;" "&amp;MID('Special Help Table'!$A938,SEARCH("; ",'Special Help Table'!$A938)+2,SEARCH(",",'Special Help Table'!$A938,SEARCH(";",'Special Help Table'!$A938))-SEARCH(";",'Special Help Table'!$A938)-2),AND(LEN('Special Help Table'!$A938)-LEN(SUBSTITUTE('Special Help Table'!$A938,"and ",""))=0,LEN('Special Help Table'!$A938)-LEN(SUBSTITUTE('Special Help Table'!$A938,";",""))=0),'Special Help Table'!$A938,AND(LEN('Special Help Table'!$A938)-LEN(SUBSTITUTE('Special Help Table'!$A938,",","")=1),LEN('Special Help Table'!$A938)-LEN(SUBSTITUTE('Special Help Table'!$A938," ","")=20),LEN('Special Help Table'!$A938)-LEN(SUBSTITUTE('Special Help Table'!$A938," and",""))=0,LEN('Special Help Table'!$A938)-LEN(SUBSTITUTE('Special Help Table'!$A938,",","",FIND(" ",'Special Help Table'!$A938)+1))=0),RIGHT('Special Help Table'!$A938,LEN('Special Help Table'!$A938)-FIND(", ",'Special Help Table'!$A938))&amp;" "&amp;LEFT('Special Help Table'!$A938,FIND(",",'Special Help Table'!$A938)-1),AND(LEN('Special Help Table'!$A938)-LEN(SUBSTITUTE('Special Help Table'!$A938,"editor",""))=6,LEN('Special Help Table'!$A938)-LEN(SUBSTITUTE('Special Help Table'!$A938,"(",""))=0,LEN('Special Help Table'!$A938)-LEN(SUBSTITUTE('Special Help Table'!$A938,"and",""))=3,LEN('Special Help Table'!$A938)-LEN(SUBSTITUTE('Special Help Table'!$A938,",",""))=1,LEN('Special Help Table'!$A938)-LEN(SUBSTITUTE('Special Help Table'!$A938," ",""))=3),'Special Help Table'!$A938)</f>
        <v>0</v>
      </c>
      <c r="C938" s="4" t="s">
        <v>1631</v>
      </c>
      <c r="D938" s="2"/>
      <c r="E938" s="2" t="s">
        <v>1491</v>
      </c>
      <c r="F938" s="2"/>
      <c r="G938" s="2"/>
      <c r="H938" s="2"/>
      <c r="I938" s="2"/>
      <c r="J938" s="2"/>
      <c r="K938" s="3"/>
      <c r="L938" s="2"/>
      <c r="M938" s="2" t="s">
        <v>1538</v>
      </c>
      <c r="N938" s="2" t="s">
        <v>1494</v>
      </c>
    </row>
    <row r="939" spans="1:14" ht="15.75" customHeight="1" x14ac:dyDescent="0.35">
      <c r="A939" s="2"/>
      <c r="B939" s="2" cm="1">
        <f t="array" ref="B939">_xlfn.IFS(AND(LEN('Special Help Table'!$A939)-(LEN(SUBSTITUTE('Special Help Table'!$A939,";","")))=0,LEN('Special Help Table'!$A939)-LEN(SUBSTITUTE('Special Help Table'!$A939,",",""))=1,LEN('Special Help Table'!$A939)-LEN(SUBSTITUTE('Special Help Table'!$A939,"and ",""))=0),MID('Special Help Table'!$A939&amp;" "&amp;'Special Help Table'!$A939,SEARCH(", ",'Special Help Table'!$A939)+1,LEN('Special Help Table'!$A939)),AND(LEN('Special Help Table'!$A939)-(LEN(SUBSTITUTE('Special Help Table'!$A939,";","")))=1,LEN('Special Help Table'!$A939)-LEN(SUBSTITUTE('Special Help Table'!$A939,"and ",""))=0),MID('Special Help Table'!$A939,SEARCH(",",'Special Help Table'!$A939)+1,(SEARCH(";",'Special Help Table'!$A939)-1)-SEARCH(",",'Special Help Table'!$A939))&amp;" "&amp;LEFT('Special Help Table'!$A939,SEARCH(",",'Special Help Table'!$A939)-1)&amp;";"&amp;RIGHT('Special Help Table'!$A939,LEN('Special Help Table'!$A939)-SEARCH(",",'Special Help Table'!$A939,SEARCH(";",'Special Help Table'!$A939)))&amp;" "&amp;MID('Special Help Table'!$A939,SEARCH("; ",'Special Help Table'!$A939)+2,SEARCH(",",'Special Help Table'!$A939,SEARCH(";",'Special Help Table'!$A939))-SEARCH(";",'Special Help Table'!$A939)-2),AND(LEN('Special Help Table'!$A939)-LEN(SUBSTITUTE('Special Help Table'!$A939,"and ",""))=0,LEN('Special Help Table'!$A939)-LEN(SUBSTITUTE('Special Help Table'!$A939,";",""))=0),'Special Help Table'!$A939,AND(LEN('Special Help Table'!$A939)-LEN(SUBSTITUTE('Special Help Table'!$A939,",","")=1),LEN('Special Help Table'!$A939)-LEN(SUBSTITUTE('Special Help Table'!$A939," ","")=20),LEN('Special Help Table'!$A939)-LEN(SUBSTITUTE('Special Help Table'!$A939," and",""))=0,LEN('Special Help Table'!$A939)-LEN(SUBSTITUTE('Special Help Table'!$A939,",","",FIND(" ",'Special Help Table'!$A939)+1))=0),RIGHT('Special Help Table'!$A939,LEN('Special Help Table'!$A939)-FIND(", ",'Special Help Table'!$A939))&amp;" "&amp;LEFT('Special Help Table'!$A939,FIND(",",'Special Help Table'!$A939)-1),AND(LEN('Special Help Table'!$A939)-LEN(SUBSTITUTE('Special Help Table'!$A939,"editor",""))=6,LEN('Special Help Table'!$A939)-LEN(SUBSTITUTE('Special Help Table'!$A939,"(",""))=0,LEN('Special Help Table'!$A939)-LEN(SUBSTITUTE('Special Help Table'!$A939,"and",""))=3,LEN('Special Help Table'!$A939)-LEN(SUBSTITUTE('Special Help Table'!$A939,",",""))=1,LEN('Special Help Table'!$A939)-LEN(SUBSTITUTE('Special Help Table'!$A939," ",""))=3),'Special Help Table'!$A939)</f>
        <v>0</v>
      </c>
      <c r="C939" s="4" t="s">
        <v>1632</v>
      </c>
      <c r="D939" s="2"/>
      <c r="E939" s="2" t="s">
        <v>1491</v>
      </c>
      <c r="F939" s="2"/>
      <c r="G939" s="2"/>
      <c r="H939" s="2"/>
      <c r="I939" s="2"/>
      <c r="J939" s="2"/>
      <c r="K939" s="3">
        <v>40827</v>
      </c>
      <c r="L939" s="2"/>
      <c r="M939" s="2"/>
      <c r="N939" s="2" t="s">
        <v>1494</v>
      </c>
    </row>
    <row r="940" spans="1:14" ht="15.75" customHeight="1" x14ac:dyDescent="0.35">
      <c r="A940" s="2"/>
      <c r="B940" s="2" cm="1">
        <f t="array" ref="B940">_xlfn.IFS(AND(LEN('Special Help Table'!$A940)-(LEN(SUBSTITUTE('Special Help Table'!$A940,";","")))=0,LEN('Special Help Table'!$A940)-LEN(SUBSTITUTE('Special Help Table'!$A940,",",""))=1,LEN('Special Help Table'!$A940)-LEN(SUBSTITUTE('Special Help Table'!$A940,"and ",""))=0),MID('Special Help Table'!$A940&amp;" "&amp;'Special Help Table'!$A940,SEARCH(", ",'Special Help Table'!$A940)+1,LEN('Special Help Table'!$A940)),AND(LEN('Special Help Table'!$A940)-(LEN(SUBSTITUTE('Special Help Table'!$A940,";","")))=1,LEN('Special Help Table'!$A940)-LEN(SUBSTITUTE('Special Help Table'!$A940,"and ",""))=0),MID('Special Help Table'!$A940,SEARCH(",",'Special Help Table'!$A940)+1,(SEARCH(";",'Special Help Table'!$A940)-1)-SEARCH(",",'Special Help Table'!$A940))&amp;" "&amp;LEFT('Special Help Table'!$A940,SEARCH(",",'Special Help Table'!$A940)-1)&amp;";"&amp;RIGHT('Special Help Table'!$A940,LEN('Special Help Table'!$A940)-SEARCH(",",'Special Help Table'!$A940,SEARCH(";",'Special Help Table'!$A940)))&amp;" "&amp;MID('Special Help Table'!$A940,SEARCH("; ",'Special Help Table'!$A940)+2,SEARCH(",",'Special Help Table'!$A940,SEARCH(";",'Special Help Table'!$A940))-SEARCH(";",'Special Help Table'!$A940)-2),AND(LEN('Special Help Table'!$A940)-LEN(SUBSTITUTE('Special Help Table'!$A940,"and ",""))=0,LEN('Special Help Table'!$A940)-LEN(SUBSTITUTE('Special Help Table'!$A940,";",""))=0),'Special Help Table'!$A940,AND(LEN('Special Help Table'!$A940)-LEN(SUBSTITUTE('Special Help Table'!$A940,",","")=1),LEN('Special Help Table'!$A940)-LEN(SUBSTITUTE('Special Help Table'!$A940," ","")=20),LEN('Special Help Table'!$A940)-LEN(SUBSTITUTE('Special Help Table'!$A940," and",""))=0,LEN('Special Help Table'!$A940)-LEN(SUBSTITUTE('Special Help Table'!$A940,",","",FIND(" ",'Special Help Table'!$A940)+1))=0),RIGHT('Special Help Table'!$A940,LEN('Special Help Table'!$A940)-FIND(", ",'Special Help Table'!$A940))&amp;" "&amp;LEFT('Special Help Table'!$A940,FIND(",",'Special Help Table'!$A940)-1),AND(LEN('Special Help Table'!$A940)-LEN(SUBSTITUTE('Special Help Table'!$A940,"editor",""))=6,LEN('Special Help Table'!$A940)-LEN(SUBSTITUTE('Special Help Table'!$A940,"(",""))=0,LEN('Special Help Table'!$A940)-LEN(SUBSTITUTE('Special Help Table'!$A940,"and",""))=3,LEN('Special Help Table'!$A940)-LEN(SUBSTITUTE('Special Help Table'!$A940,",",""))=1,LEN('Special Help Table'!$A940)-LEN(SUBSTITUTE('Special Help Table'!$A940," ",""))=3),'Special Help Table'!$A940)</f>
        <v>0</v>
      </c>
      <c r="C940" s="4" t="s">
        <v>1633</v>
      </c>
      <c r="D940" s="2"/>
      <c r="E940" s="2" t="s">
        <v>1491</v>
      </c>
      <c r="F940" s="2"/>
      <c r="G940" s="2"/>
      <c r="H940" s="2"/>
      <c r="I940" s="2"/>
      <c r="J940" s="2"/>
      <c r="K940" s="3">
        <v>44578</v>
      </c>
      <c r="L940" s="2"/>
      <c r="M940" s="2"/>
      <c r="N940" s="2" t="s">
        <v>1494</v>
      </c>
    </row>
    <row r="941" spans="1:14" ht="15.75" customHeight="1" x14ac:dyDescent="0.35">
      <c r="A941" s="2"/>
      <c r="B941" s="2" cm="1">
        <f t="array" ref="B941">_xlfn.IFS(AND(LEN('Special Help Table'!$A941)-(LEN(SUBSTITUTE('Special Help Table'!$A941,";","")))=0,LEN('Special Help Table'!$A941)-LEN(SUBSTITUTE('Special Help Table'!$A941,",",""))=1,LEN('Special Help Table'!$A941)-LEN(SUBSTITUTE('Special Help Table'!$A941,"and ",""))=0),MID('Special Help Table'!$A941&amp;" "&amp;'Special Help Table'!$A941,SEARCH(", ",'Special Help Table'!$A941)+1,LEN('Special Help Table'!$A941)),AND(LEN('Special Help Table'!$A941)-(LEN(SUBSTITUTE('Special Help Table'!$A941,";","")))=1,LEN('Special Help Table'!$A941)-LEN(SUBSTITUTE('Special Help Table'!$A941,"and ",""))=0),MID('Special Help Table'!$A941,SEARCH(",",'Special Help Table'!$A941)+1,(SEARCH(";",'Special Help Table'!$A941)-1)-SEARCH(",",'Special Help Table'!$A941))&amp;" "&amp;LEFT('Special Help Table'!$A941,SEARCH(",",'Special Help Table'!$A941)-1)&amp;";"&amp;RIGHT('Special Help Table'!$A941,LEN('Special Help Table'!$A941)-SEARCH(",",'Special Help Table'!$A941,SEARCH(";",'Special Help Table'!$A941)))&amp;" "&amp;MID('Special Help Table'!$A941,SEARCH("; ",'Special Help Table'!$A941)+2,SEARCH(",",'Special Help Table'!$A941,SEARCH(";",'Special Help Table'!$A941))-SEARCH(";",'Special Help Table'!$A941)-2),AND(LEN('Special Help Table'!$A941)-LEN(SUBSTITUTE('Special Help Table'!$A941,"and ",""))=0,LEN('Special Help Table'!$A941)-LEN(SUBSTITUTE('Special Help Table'!$A941,";",""))=0),'Special Help Table'!$A941,AND(LEN('Special Help Table'!$A941)-LEN(SUBSTITUTE('Special Help Table'!$A941,",","")=1),LEN('Special Help Table'!$A941)-LEN(SUBSTITUTE('Special Help Table'!$A941," ","")=20),LEN('Special Help Table'!$A941)-LEN(SUBSTITUTE('Special Help Table'!$A941," and",""))=0,LEN('Special Help Table'!$A941)-LEN(SUBSTITUTE('Special Help Table'!$A941,",","",FIND(" ",'Special Help Table'!$A941)+1))=0),RIGHT('Special Help Table'!$A941,LEN('Special Help Table'!$A941)-FIND(", ",'Special Help Table'!$A941))&amp;" "&amp;LEFT('Special Help Table'!$A941,FIND(",",'Special Help Table'!$A941)-1),AND(LEN('Special Help Table'!$A941)-LEN(SUBSTITUTE('Special Help Table'!$A941,"editor",""))=6,LEN('Special Help Table'!$A941)-LEN(SUBSTITUTE('Special Help Table'!$A941,"(",""))=0,LEN('Special Help Table'!$A941)-LEN(SUBSTITUTE('Special Help Table'!$A941,"and",""))=3,LEN('Special Help Table'!$A941)-LEN(SUBSTITUTE('Special Help Table'!$A941,",",""))=1,LEN('Special Help Table'!$A941)-LEN(SUBSTITUTE('Special Help Table'!$A941," ",""))=3),'Special Help Table'!$A941)</f>
        <v>0</v>
      </c>
      <c r="C941" s="4" t="s">
        <v>1634</v>
      </c>
      <c r="D941" s="2"/>
      <c r="E941" s="2" t="s">
        <v>1491</v>
      </c>
      <c r="F941" s="2"/>
      <c r="G941" s="2"/>
      <c r="H941" s="2"/>
      <c r="I941" s="2"/>
      <c r="J941" s="2"/>
      <c r="K941" s="3">
        <v>43040</v>
      </c>
      <c r="L941" s="2"/>
      <c r="M941" s="2"/>
      <c r="N941" s="2" t="s">
        <v>1494</v>
      </c>
    </row>
    <row r="942" spans="1:14" ht="15.75" customHeight="1" x14ac:dyDescent="0.35">
      <c r="A942" s="2"/>
      <c r="B942" s="2" cm="1">
        <f t="array" ref="B942">_xlfn.IFS(AND(LEN('Special Help Table'!$A942)-(LEN(SUBSTITUTE('Special Help Table'!$A942,";","")))=0,LEN('Special Help Table'!$A942)-LEN(SUBSTITUTE('Special Help Table'!$A942,",",""))=1,LEN('Special Help Table'!$A942)-LEN(SUBSTITUTE('Special Help Table'!$A942,"and ",""))=0),MID('Special Help Table'!$A942&amp;" "&amp;'Special Help Table'!$A942,SEARCH(", ",'Special Help Table'!$A942)+1,LEN('Special Help Table'!$A942)),AND(LEN('Special Help Table'!$A942)-(LEN(SUBSTITUTE('Special Help Table'!$A942,";","")))=1,LEN('Special Help Table'!$A942)-LEN(SUBSTITUTE('Special Help Table'!$A942,"and ",""))=0),MID('Special Help Table'!$A942,SEARCH(",",'Special Help Table'!$A942)+1,(SEARCH(";",'Special Help Table'!$A942)-1)-SEARCH(",",'Special Help Table'!$A942))&amp;" "&amp;LEFT('Special Help Table'!$A942,SEARCH(",",'Special Help Table'!$A942)-1)&amp;";"&amp;RIGHT('Special Help Table'!$A942,LEN('Special Help Table'!$A942)-SEARCH(",",'Special Help Table'!$A942,SEARCH(";",'Special Help Table'!$A942)))&amp;" "&amp;MID('Special Help Table'!$A942,SEARCH("; ",'Special Help Table'!$A942)+2,SEARCH(",",'Special Help Table'!$A942,SEARCH(";",'Special Help Table'!$A942))-SEARCH(";",'Special Help Table'!$A942)-2),AND(LEN('Special Help Table'!$A942)-LEN(SUBSTITUTE('Special Help Table'!$A942,"and ",""))=0,LEN('Special Help Table'!$A942)-LEN(SUBSTITUTE('Special Help Table'!$A942,";",""))=0),'Special Help Table'!$A942,AND(LEN('Special Help Table'!$A942)-LEN(SUBSTITUTE('Special Help Table'!$A942,",","")=1),LEN('Special Help Table'!$A942)-LEN(SUBSTITUTE('Special Help Table'!$A942," ","")=20),LEN('Special Help Table'!$A942)-LEN(SUBSTITUTE('Special Help Table'!$A942," and",""))=0,LEN('Special Help Table'!$A942)-LEN(SUBSTITUTE('Special Help Table'!$A942,",","",FIND(" ",'Special Help Table'!$A942)+1))=0),RIGHT('Special Help Table'!$A942,LEN('Special Help Table'!$A942)-FIND(", ",'Special Help Table'!$A942))&amp;" "&amp;LEFT('Special Help Table'!$A942,FIND(",",'Special Help Table'!$A942)-1),AND(LEN('Special Help Table'!$A942)-LEN(SUBSTITUTE('Special Help Table'!$A942,"editor",""))=6,LEN('Special Help Table'!$A942)-LEN(SUBSTITUTE('Special Help Table'!$A942,"(",""))=0,LEN('Special Help Table'!$A942)-LEN(SUBSTITUTE('Special Help Table'!$A942,"and",""))=3,LEN('Special Help Table'!$A942)-LEN(SUBSTITUTE('Special Help Table'!$A942,",",""))=1,LEN('Special Help Table'!$A942)-LEN(SUBSTITUTE('Special Help Table'!$A942," ",""))=3),'Special Help Table'!$A942)</f>
        <v>0</v>
      </c>
      <c r="C942" s="4" t="s">
        <v>1635</v>
      </c>
      <c r="D942" s="2"/>
      <c r="E942" s="2" t="s">
        <v>1491</v>
      </c>
      <c r="F942" s="2"/>
      <c r="G942" s="2"/>
      <c r="H942" s="2"/>
      <c r="I942" s="2"/>
      <c r="J942" s="2"/>
      <c r="K942" s="3">
        <v>42511</v>
      </c>
      <c r="L942" s="2"/>
      <c r="M942" s="2"/>
      <c r="N942" s="2" t="s">
        <v>1494</v>
      </c>
    </row>
    <row r="943" spans="1:14" ht="15.75" customHeight="1" x14ac:dyDescent="0.35">
      <c r="A943" s="2"/>
      <c r="B943" s="2" cm="1">
        <f t="array" ref="B943">_xlfn.IFS(AND(LEN('Special Help Table'!$A943)-(LEN(SUBSTITUTE('Special Help Table'!$A943,";","")))=0,LEN('Special Help Table'!$A943)-LEN(SUBSTITUTE('Special Help Table'!$A943,",",""))=1,LEN('Special Help Table'!$A943)-LEN(SUBSTITUTE('Special Help Table'!$A943,"and ",""))=0),MID('Special Help Table'!$A943&amp;" "&amp;'Special Help Table'!$A943,SEARCH(", ",'Special Help Table'!$A943)+1,LEN('Special Help Table'!$A943)),AND(LEN('Special Help Table'!$A943)-(LEN(SUBSTITUTE('Special Help Table'!$A943,";","")))=1,LEN('Special Help Table'!$A943)-LEN(SUBSTITUTE('Special Help Table'!$A943,"and ",""))=0),MID('Special Help Table'!$A943,SEARCH(",",'Special Help Table'!$A943)+1,(SEARCH(";",'Special Help Table'!$A943)-1)-SEARCH(",",'Special Help Table'!$A943))&amp;" "&amp;LEFT('Special Help Table'!$A943,SEARCH(",",'Special Help Table'!$A943)-1)&amp;";"&amp;RIGHT('Special Help Table'!$A943,LEN('Special Help Table'!$A943)-SEARCH(",",'Special Help Table'!$A943,SEARCH(";",'Special Help Table'!$A943)))&amp;" "&amp;MID('Special Help Table'!$A943,SEARCH("; ",'Special Help Table'!$A943)+2,SEARCH(",",'Special Help Table'!$A943,SEARCH(";",'Special Help Table'!$A943))-SEARCH(";",'Special Help Table'!$A943)-2),AND(LEN('Special Help Table'!$A943)-LEN(SUBSTITUTE('Special Help Table'!$A943,"and ",""))=0,LEN('Special Help Table'!$A943)-LEN(SUBSTITUTE('Special Help Table'!$A943,";",""))=0),'Special Help Table'!$A943,AND(LEN('Special Help Table'!$A943)-LEN(SUBSTITUTE('Special Help Table'!$A943,",","")=1),LEN('Special Help Table'!$A943)-LEN(SUBSTITUTE('Special Help Table'!$A943," ","")=20),LEN('Special Help Table'!$A943)-LEN(SUBSTITUTE('Special Help Table'!$A943," and",""))=0,LEN('Special Help Table'!$A943)-LEN(SUBSTITUTE('Special Help Table'!$A943,",","",FIND(" ",'Special Help Table'!$A943)+1))=0),RIGHT('Special Help Table'!$A943,LEN('Special Help Table'!$A943)-FIND(", ",'Special Help Table'!$A943))&amp;" "&amp;LEFT('Special Help Table'!$A943,FIND(",",'Special Help Table'!$A943)-1),AND(LEN('Special Help Table'!$A943)-LEN(SUBSTITUTE('Special Help Table'!$A943,"editor",""))=6,LEN('Special Help Table'!$A943)-LEN(SUBSTITUTE('Special Help Table'!$A943,"(",""))=0,LEN('Special Help Table'!$A943)-LEN(SUBSTITUTE('Special Help Table'!$A943,"and",""))=3,LEN('Special Help Table'!$A943)-LEN(SUBSTITUTE('Special Help Table'!$A943,",",""))=1,LEN('Special Help Table'!$A943)-LEN(SUBSTITUTE('Special Help Table'!$A943," ",""))=3),'Special Help Table'!$A943)</f>
        <v>0</v>
      </c>
      <c r="C943" s="4" t="s">
        <v>1636</v>
      </c>
      <c r="D943" s="2"/>
      <c r="E943" s="2" t="s">
        <v>1491</v>
      </c>
      <c r="F943" s="2"/>
      <c r="G943" s="2"/>
      <c r="H943" s="2"/>
      <c r="I943" s="2"/>
      <c r="J943" s="2"/>
      <c r="K943" s="3">
        <v>44240</v>
      </c>
      <c r="L943" s="2"/>
      <c r="M943" s="2"/>
      <c r="N943" s="2" t="s">
        <v>1494</v>
      </c>
    </row>
    <row r="944" spans="1:14" ht="15.75" customHeight="1" x14ac:dyDescent="0.35">
      <c r="A944" s="2"/>
      <c r="B944" s="2" cm="1">
        <f t="array" ref="B944">_xlfn.IFS(AND(LEN('Special Help Table'!$A944)-(LEN(SUBSTITUTE('Special Help Table'!$A944,";","")))=0,LEN('Special Help Table'!$A944)-LEN(SUBSTITUTE('Special Help Table'!$A944,",",""))=1,LEN('Special Help Table'!$A944)-LEN(SUBSTITUTE('Special Help Table'!$A944,"and ",""))=0),MID('Special Help Table'!$A944&amp;" "&amp;'Special Help Table'!$A944,SEARCH(", ",'Special Help Table'!$A944)+1,LEN('Special Help Table'!$A944)),AND(LEN('Special Help Table'!$A944)-(LEN(SUBSTITUTE('Special Help Table'!$A944,";","")))=1,LEN('Special Help Table'!$A944)-LEN(SUBSTITUTE('Special Help Table'!$A944,"and ",""))=0),MID('Special Help Table'!$A944,SEARCH(",",'Special Help Table'!$A944)+1,(SEARCH(";",'Special Help Table'!$A944)-1)-SEARCH(",",'Special Help Table'!$A944))&amp;" "&amp;LEFT('Special Help Table'!$A944,SEARCH(",",'Special Help Table'!$A944)-1)&amp;";"&amp;RIGHT('Special Help Table'!$A944,LEN('Special Help Table'!$A944)-SEARCH(",",'Special Help Table'!$A944,SEARCH(";",'Special Help Table'!$A944)))&amp;" "&amp;MID('Special Help Table'!$A944,SEARCH("; ",'Special Help Table'!$A944)+2,SEARCH(",",'Special Help Table'!$A944,SEARCH(";",'Special Help Table'!$A944))-SEARCH(";",'Special Help Table'!$A944)-2),AND(LEN('Special Help Table'!$A944)-LEN(SUBSTITUTE('Special Help Table'!$A944,"and ",""))=0,LEN('Special Help Table'!$A944)-LEN(SUBSTITUTE('Special Help Table'!$A944,";",""))=0),'Special Help Table'!$A944,AND(LEN('Special Help Table'!$A944)-LEN(SUBSTITUTE('Special Help Table'!$A944,",","")=1),LEN('Special Help Table'!$A944)-LEN(SUBSTITUTE('Special Help Table'!$A944," ","")=20),LEN('Special Help Table'!$A944)-LEN(SUBSTITUTE('Special Help Table'!$A944," and",""))=0,LEN('Special Help Table'!$A944)-LEN(SUBSTITUTE('Special Help Table'!$A944,",","",FIND(" ",'Special Help Table'!$A944)+1))=0),RIGHT('Special Help Table'!$A944,LEN('Special Help Table'!$A944)-FIND(", ",'Special Help Table'!$A944))&amp;" "&amp;LEFT('Special Help Table'!$A944,FIND(",",'Special Help Table'!$A944)-1),AND(LEN('Special Help Table'!$A944)-LEN(SUBSTITUTE('Special Help Table'!$A944,"editor",""))=6,LEN('Special Help Table'!$A944)-LEN(SUBSTITUTE('Special Help Table'!$A944,"(",""))=0,LEN('Special Help Table'!$A944)-LEN(SUBSTITUTE('Special Help Table'!$A944,"and",""))=3,LEN('Special Help Table'!$A944)-LEN(SUBSTITUTE('Special Help Table'!$A944,",",""))=1,LEN('Special Help Table'!$A944)-LEN(SUBSTITUTE('Special Help Table'!$A944," ",""))=3),'Special Help Table'!$A944)</f>
        <v>0</v>
      </c>
      <c r="C944" s="4" t="s">
        <v>1637</v>
      </c>
      <c r="D944" s="2"/>
      <c r="E944" s="2" t="s">
        <v>1491</v>
      </c>
      <c r="F944" s="2"/>
      <c r="G944" s="2"/>
      <c r="H944" s="2"/>
      <c r="I944" s="2"/>
      <c r="J944" s="2"/>
      <c r="K944" s="3"/>
      <c r="L944" s="2"/>
      <c r="M944" s="2"/>
      <c r="N944" s="2" t="s">
        <v>1494</v>
      </c>
    </row>
    <row r="945" spans="1:14" ht="15.75" customHeight="1" x14ac:dyDescent="0.35">
      <c r="A945" s="2"/>
      <c r="B945" s="2" cm="1">
        <f t="array" ref="B945">_xlfn.IFS(AND(LEN('Special Help Table'!$A945)-(LEN(SUBSTITUTE('Special Help Table'!$A945,";","")))=0,LEN('Special Help Table'!$A945)-LEN(SUBSTITUTE('Special Help Table'!$A945,",",""))=1,LEN('Special Help Table'!$A945)-LEN(SUBSTITUTE('Special Help Table'!$A945,"and ",""))=0),MID('Special Help Table'!$A945&amp;" "&amp;'Special Help Table'!$A945,SEARCH(", ",'Special Help Table'!$A945)+1,LEN('Special Help Table'!$A945)),AND(LEN('Special Help Table'!$A945)-(LEN(SUBSTITUTE('Special Help Table'!$A945,";","")))=1,LEN('Special Help Table'!$A945)-LEN(SUBSTITUTE('Special Help Table'!$A945,"and ",""))=0),MID('Special Help Table'!$A945,SEARCH(",",'Special Help Table'!$A945)+1,(SEARCH(";",'Special Help Table'!$A945)-1)-SEARCH(",",'Special Help Table'!$A945))&amp;" "&amp;LEFT('Special Help Table'!$A945,SEARCH(",",'Special Help Table'!$A945)-1)&amp;";"&amp;RIGHT('Special Help Table'!$A945,LEN('Special Help Table'!$A945)-SEARCH(",",'Special Help Table'!$A945,SEARCH(";",'Special Help Table'!$A945)))&amp;" "&amp;MID('Special Help Table'!$A945,SEARCH("; ",'Special Help Table'!$A945)+2,SEARCH(",",'Special Help Table'!$A945,SEARCH(";",'Special Help Table'!$A945))-SEARCH(";",'Special Help Table'!$A945)-2),AND(LEN('Special Help Table'!$A945)-LEN(SUBSTITUTE('Special Help Table'!$A945,"and ",""))=0,LEN('Special Help Table'!$A945)-LEN(SUBSTITUTE('Special Help Table'!$A945,";",""))=0),'Special Help Table'!$A945,AND(LEN('Special Help Table'!$A945)-LEN(SUBSTITUTE('Special Help Table'!$A945,",","")=1),LEN('Special Help Table'!$A945)-LEN(SUBSTITUTE('Special Help Table'!$A945," ","")=20),LEN('Special Help Table'!$A945)-LEN(SUBSTITUTE('Special Help Table'!$A945," and",""))=0,LEN('Special Help Table'!$A945)-LEN(SUBSTITUTE('Special Help Table'!$A945,",","",FIND(" ",'Special Help Table'!$A945)+1))=0),RIGHT('Special Help Table'!$A945,LEN('Special Help Table'!$A945)-FIND(", ",'Special Help Table'!$A945))&amp;" "&amp;LEFT('Special Help Table'!$A945,FIND(",",'Special Help Table'!$A945)-1),AND(LEN('Special Help Table'!$A945)-LEN(SUBSTITUTE('Special Help Table'!$A945,"editor",""))=6,LEN('Special Help Table'!$A945)-LEN(SUBSTITUTE('Special Help Table'!$A945,"(",""))=0,LEN('Special Help Table'!$A945)-LEN(SUBSTITUTE('Special Help Table'!$A945,"and",""))=3,LEN('Special Help Table'!$A945)-LEN(SUBSTITUTE('Special Help Table'!$A945,",",""))=1,LEN('Special Help Table'!$A945)-LEN(SUBSTITUTE('Special Help Table'!$A945," ",""))=3),'Special Help Table'!$A945)</f>
        <v>0</v>
      </c>
      <c r="C945" s="4" t="s">
        <v>1638</v>
      </c>
      <c r="D945" s="2"/>
      <c r="E945" s="2" t="s">
        <v>1491</v>
      </c>
      <c r="F945" s="2"/>
      <c r="G945" s="2"/>
      <c r="H945" s="2"/>
      <c r="I945" s="2"/>
      <c r="J945" s="2"/>
      <c r="K945" s="3">
        <v>42019</v>
      </c>
      <c r="L945" s="2" t="s">
        <v>1547</v>
      </c>
      <c r="M945" s="2"/>
      <c r="N945" s="2" t="s">
        <v>1494</v>
      </c>
    </row>
    <row r="946" spans="1:14" ht="15.75" customHeight="1" x14ac:dyDescent="0.35">
      <c r="A946" s="2"/>
      <c r="B946" s="2" cm="1">
        <f t="array" ref="B946">_xlfn.IFS(AND(LEN('Special Help Table'!$A946)-(LEN(SUBSTITUTE('Special Help Table'!$A946,";","")))=0,LEN('Special Help Table'!$A946)-LEN(SUBSTITUTE('Special Help Table'!$A946,",",""))=1,LEN('Special Help Table'!$A946)-LEN(SUBSTITUTE('Special Help Table'!$A946,"and ",""))=0),MID('Special Help Table'!$A946&amp;" "&amp;'Special Help Table'!$A946,SEARCH(", ",'Special Help Table'!$A946)+1,LEN('Special Help Table'!$A946)),AND(LEN('Special Help Table'!$A946)-(LEN(SUBSTITUTE('Special Help Table'!$A946,";","")))=1,LEN('Special Help Table'!$A946)-LEN(SUBSTITUTE('Special Help Table'!$A946,"and ",""))=0),MID('Special Help Table'!$A946,SEARCH(",",'Special Help Table'!$A946)+1,(SEARCH(";",'Special Help Table'!$A946)-1)-SEARCH(",",'Special Help Table'!$A946))&amp;" "&amp;LEFT('Special Help Table'!$A946,SEARCH(",",'Special Help Table'!$A946)-1)&amp;";"&amp;RIGHT('Special Help Table'!$A946,LEN('Special Help Table'!$A946)-SEARCH(",",'Special Help Table'!$A946,SEARCH(";",'Special Help Table'!$A946)))&amp;" "&amp;MID('Special Help Table'!$A946,SEARCH("; ",'Special Help Table'!$A946)+2,SEARCH(",",'Special Help Table'!$A946,SEARCH(";",'Special Help Table'!$A946))-SEARCH(";",'Special Help Table'!$A946)-2),AND(LEN('Special Help Table'!$A946)-LEN(SUBSTITUTE('Special Help Table'!$A946,"and ",""))=0,LEN('Special Help Table'!$A946)-LEN(SUBSTITUTE('Special Help Table'!$A946,";",""))=0),'Special Help Table'!$A946,AND(LEN('Special Help Table'!$A946)-LEN(SUBSTITUTE('Special Help Table'!$A946,",","")=1),LEN('Special Help Table'!$A946)-LEN(SUBSTITUTE('Special Help Table'!$A946," ","")=20),LEN('Special Help Table'!$A946)-LEN(SUBSTITUTE('Special Help Table'!$A946," and",""))=0,LEN('Special Help Table'!$A946)-LEN(SUBSTITUTE('Special Help Table'!$A946,",","",FIND(" ",'Special Help Table'!$A946)+1))=0),RIGHT('Special Help Table'!$A946,LEN('Special Help Table'!$A946)-FIND(", ",'Special Help Table'!$A946))&amp;" "&amp;LEFT('Special Help Table'!$A946,FIND(",",'Special Help Table'!$A946)-1),AND(LEN('Special Help Table'!$A946)-LEN(SUBSTITUTE('Special Help Table'!$A946,"editor",""))=6,LEN('Special Help Table'!$A946)-LEN(SUBSTITUTE('Special Help Table'!$A946,"(",""))=0,LEN('Special Help Table'!$A946)-LEN(SUBSTITUTE('Special Help Table'!$A946,"and",""))=3,LEN('Special Help Table'!$A946)-LEN(SUBSTITUTE('Special Help Table'!$A946,",",""))=1,LEN('Special Help Table'!$A946)-LEN(SUBSTITUTE('Special Help Table'!$A946," ",""))=3),'Special Help Table'!$A946)</f>
        <v>0</v>
      </c>
      <c r="C946" s="4" t="s">
        <v>1639</v>
      </c>
      <c r="D946" s="2"/>
      <c r="E946" s="2" t="s">
        <v>1491</v>
      </c>
      <c r="F946" s="2"/>
      <c r="G946" s="2"/>
      <c r="H946" s="2"/>
      <c r="I946" s="2"/>
      <c r="J946" s="2"/>
      <c r="K946" s="3">
        <v>40705</v>
      </c>
      <c r="L946" s="2"/>
      <c r="M946" s="2"/>
      <c r="N946" s="2" t="s">
        <v>1494</v>
      </c>
    </row>
    <row r="947" spans="1:14" ht="15.75" customHeight="1" x14ac:dyDescent="0.35">
      <c r="A947" s="2"/>
      <c r="B947" s="2" cm="1">
        <f t="array" ref="B947">_xlfn.IFS(AND(LEN('Special Help Table'!$A947)-(LEN(SUBSTITUTE('Special Help Table'!$A947,";","")))=0,LEN('Special Help Table'!$A947)-LEN(SUBSTITUTE('Special Help Table'!$A947,",",""))=1,LEN('Special Help Table'!$A947)-LEN(SUBSTITUTE('Special Help Table'!$A947,"and ",""))=0),MID('Special Help Table'!$A947&amp;" "&amp;'Special Help Table'!$A947,SEARCH(", ",'Special Help Table'!$A947)+1,LEN('Special Help Table'!$A947)),AND(LEN('Special Help Table'!$A947)-(LEN(SUBSTITUTE('Special Help Table'!$A947,";","")))=1,LEN('Special Help Table'!$A947)-LEN(SUBSTITUTE('Special Help Table'!$A947,"and ",""))=0),MID('Special Help Table'!$A947,SEARCH(",",'Special Help Table'!$A947)+1,(SEARCH(";",'Special Help Table'!$A947)-1)-SEARCH(",",'Special Help Table'!$A947))&amp;" "&amp;LEFT('Special Help Table'!$A947,SEARCH(",",'Special Help Table'!$A947)-1)&amp;";"&amp;RIGHT('Special Help Table'!$A947,LEN('Special Help Table'!$A947)-SEARCH(",",'Special Help Table'!$A947,SEARCH(";",'Special Help Table'!$A947)))&amp;" "&amp;MID('Special Help Table'!$A947,SEARCH("; ",'Special Help Table'!$A947)+2,SEARCH(",",'Special Help Table'!$A947,SEARCH(";",'Special Help Table'!$A947))-SEARCH(";",'Special Help Table'!$A947)-2),AND(LEN('Special Help Table'!$A947)-LEN(SUBSTITUTE('Special Help Table'!$A947,"and ",""))=0,LEN('Special Help Table'!$A947)-LEN(SUBSTITUTE('Special Help Table'!$A947,";",""))=0),'Special Help Table'!$A947,AND(LEN('Special Help Table'!$A947)-LEN(SUBSTITUTE('Special Help Table'!$A947,",","")=1),LEN('Special Help Table'!$A947)-LEN(SUBSTITUTE('Special Help Table'!$A947," ","")=20),LEN('Special Help Table'!$A947)-LEN(SUBSTITUTE('Special Help Table'!$A947," and",""))=0,LEN('Special Help Table'!$A947)-LEN(SUBSTITUTE('Special Help Table'!$A947,",","",FIND(" ",'Special Help Table'!$A947)+1))=0),RIGHT('Special Help Table'!$A947,LEN('Special Help Table'!$A947)-FIND(", ",'Special Help Table'!$A947))&amp;" "&amp;LEFT('Special Help Table'!$A947,FIND(",",'Special Help Table'!$A947)-1),AND(LEN('Special Help Table'!$A947)-LEN(SUBSTITUTE('Special Help Table'!$A947,"editor",""))=6,LEN('Special Help Table'!$A947)-LEN(SUBSTITUTE('Special Help Table'!$A947,"(",""))=0,LEN('Special Help Table'!$A947)-LEN(SUBSTITUTE('Special Help Table'!$A947,"and",""))=3,LEN('Special Help Table'!$A947)-LEN(SUBSTITUTE('Special Help Table'!$A947,",",""))=1,LEN('Special Help Table'!$A947)-LEN(SUBSTITUTE('Special Help Table'!$A947," ",""))=3),'Special Help Table'!$A947)</f>
        <v>0</v>
      </c>
      <c r="C947" s="4" t="s">
        <v>1640</v>
      </c>
      <c r="D947" s="2"/>
      <c r="E947" s="2" t="s">
        <v>1491</v>
      </c>
      <c r="F947" s="2"/>
      <c r="G947" s="2"/>
      <c r="H947" s="2"/>
      <c r="I947" s="2"/>
      <c r="J947" s="2"/>
      <c r="K947" s="3">
        <v>41712</v>
      </c>
      <c r="L947" s="2"/>
      <c r="M947" s="2"/>
      <c r="N947" s="2" t="s">
        <v>1494</v>
      </c>
    </row>
    <row r="948" spans="1:14" ht="15.75" customHeight="1" x14ac:dyDescent="0.35">
      <c r="A948" s="2"/>
      <c r="B948" s="2" cm="1">
        <f t="array" ref="B948">_xlfn.IFS(AND(LEN('Special Help Table'!$A948)-(LEN(SUBSTITUTE('Special Help Table'!$A948,";","")))=0,LEN('Special Help Table'!$A948)-LEN(SUBSTITUTE('Special Help Table'!$A948,",",""))=1,LEN('Special Help Table'!$A948)-LEN(SUBSTITUTE('Special Help Table'!$A948,"and ",""))=0),MID('Special Help Table'!$A948&amp;" "&amp;'Special Help Table'!$A948,SEARCH(", ",'Special Help Table'!$A948)+1,LEN('Special Help Table'!$A948)),AND(LEN('Special Help Table'!$A948)-(LEN(SUBSTITUTE('Special Help Table'!$A948,";","")))=1,LEN('Special Help Table'!$A948)-LEN(SUBSTITUTE('Special Help Table'!$A948,"and ",""))=0),MID('Special Help Table'!$A948,SEARCH(",",'Special Help Table'!$A948)+1,(SEARCH(";",'Special Help Table'!$A948)-1)-SEARCH(",",'Special Help Table'!$A948))&amp;" "&amp;LEFT('Special Help Table'!$A948,SEARCH(",",'Special Help Table'!$A948)-1)&amp;";"&amp;RIGHT('Special Help Table'!$A948,LEN('Special Help Table'!$A948)-SEARCH(",",'Special Help Table'!$A948,SEARCH(";",'Special Help Table'!$A948)))&amp;" "&amp;MID('Special Help Table'!$A948,SEARCH("; ",'Special Help Table'!$A948)+2,SEARCH(",",'Special Help Table'!$A948,SEARCH(";",'Special Help Table'!$A948))-SEARCH(";",'Special Help Table'!$A948)-2),AND(LEN('Special Help Table'!$A948)-LEN(SUBSTITUTE('Special Help Table'!$A948,"and ",""))=0,LEN('Special Help Table'!$A948)-LEN(SUBSTITUTE('Special Help Table'!$A948,";",""))=0),'Special Help Table'!$A948,AND(LEN('Special Help Table'!$A948)-LEN(SUBSTITUTE('Special Help Table'!$A948,",","")=1),LEN('Special Help Table'!$A948)-LEN(SUBSTITUTE('Special Help Table'!$A948," ","")=20),LEN('Special Help Table'!$A948)-LEN(SUBSTITUTE('Special Help Table'!$A948," and",""))=0,LEN('Special Help Table'!$A948)-LEN(SUBSTITUTE('Special Help Table'!$A948,",","",FIND(" ",'Special Help Table'!$A948)+1))=0),RIGHT('Special Help Table'!$A948,LEN('Special Help Table'!$A948)-FIND(", ",'Special Help Table'!$A948))&amp;" "&amp;LEFT('Special Help Table'!$A948,FIND(",",'Special Help Table'!$A948)-1),AND(LEN('Special Help Table'!$A948)-LEN(SUBSTITUTE('Special Help Table'!$A948,"editor",""))=6,LEN('Special Help Table'!$A948)-LEN(SUBSTITUTE('Special Help Table'!$A948,"(",""))=0,LEN('Special Help Table'!$A948)-LEN(SUBSTITUTE('Special Help Table'!$A948,"and",""))=3,LEN('Special Help Table'!$A948)-LEN(SUBSTITUTE('Special Help Table'!$A948,",",""))=1,LEN('Special Help Table'!$A948)-LEN(SUBSTITUTE('Special Help Table'!$A948," ",""))=3),'Special Help Table'!$A948)</f>
        <v>0</v>
      </c>
      <c r="C948" s="4" t="s">
        <v>1641</v>
      </c>
      <c r="D948" s="2"/>
      <c r="E948" s="2" t="s">
        <v>1491</v>
      </c>
      <c r="F948" s="2"/>
      <c r="G948" s="2"/>
      <c r="H948" s="2"/>
      <c r="I948" s="2"/>
      <c r="J948" s="2"/>
      <c r="K948" s="3">
        <v>42511</v>
      </c>
      <c r="L948" s="2"/>
      <c r="M948" s="2"/>
      <c r="N948" s="2" t="s">
        <v>1494</v>
      </c>
    </row>
    <row r="949" spans="1:14" ht="15.75" customHeight="1" x14ac:dyDescent="0.35">
      <c r="A949" s="2"/>
      <c r="B949" s="2" cm="1">
        <f t="array" ref="B949">_xlfn.IFS(AND(LEN('Special Help Table'!$A949)-(LEN(SUBSTITUTE('Special Help Table'!$A949,";","")))=0,LEN('Special Help Table'!$A949)-LEN(SUBSTITUTE('Special Help Table'!$A949,",",""))=1,LEN('Special Help Table'!$A949)-LEN(SUBSTITUTE('Special Help Table'!$A949,"and ",""))=0),MID('Special Help Table'!$A949&amp;" "&amp;'Special Help Table'!$A949,SEARCH(", ",'Special Help Table'!$A949)+1,LEN('Special Help Table'!$A949)),AND(LEN('Special Help Table'!$A949)-(LEN(SUBSTITUTE('Special Help Table'!$A949,";","")))=1,LEN('Special Help Table'!$A949)-LEN(SUBSTITUTE('Special Help Table'!$A949,"and ",""))=0),MID('Special Help Table'!$A949,SEARCH(",",'Special Help Table'!$A949)+1,(SEARCH(";",'Special Help Table'!$A949)-1)-SEARCH(",",'Special Help Table'!$A949))&amp;" "&amp;LEFT('Special Help Table'!$A949,SEARCH(",",'Special Help Table'!$A949)-1)&amp;";"&amp;RIGHT('Special Help Table'!$A949,LEN('Special Help Table'!$A949)-SEARCH(",",'Special Help Table'!$A949,SEARCH(";",'Special Help Table'!$A949)))&amp;" "&amp;MID('Special Help Table'!$A949,SEARCH("; ",'Special Help Table'!$A949)+2,SEARCH(",",'Special Help Table'!$A949,SEARCH(";",'Special Help Table'!$A949))-SEARCH(";",'Special Help Table'!$A949)-2),AND(LEN('Special Help Table'!$A949)-LEN(SUBSTITUTE('Special Help Table'!$A949,"and ",""))=0,LEN('Special Help Table'!$A949)-LEN(SUBSTITUTE('Special Help Table'!$A949,";",""))=0),'Special Help Table'!$A949,AND(LEN('Special Help Table'!$A949)-LEN(SUBSTITUTE('Special Help Table'!$A949,",","")=1),LEN('Special Help Table'!$A949)-LEN(SUBSTITUTE('Special Help Table'!$A949," ","")=20),LEN('Special Help Table'!$A949)-LEN(SUBSTITUTE('Special Help Table'!$A949," and",""))=0,LEN('Special Help Table'!$A949)-LEN(SUBSTITUTE('Special Help Table'!$A949,",","",FIND(" ",'Special Help Table'!$A949)+1))=0),RIGHT('Special Help Table'!$A949,LEN('Special Help Table'!$A949)-FIND(", ",'Special Help Table'!$A949))&amp;" "&amp;LEFT('Special Help Table'!$A949,FIND(",",'Special Help Table'!$A949)-1),AND(LEN('Special Help Table'!$A949)-LEN(SUBSTITUTE('Special Help Table'!$A949,"editor",""))=6,LEN('Special Help Table'!$A949)-LEN(SUBSTITUTE('Special Help Table'!$A949,"(",""))=0,LEN('Special Help Table'!$A949)-LEN(SUBSTITUTE('Special Help Table'!$A949,"and",""))=3,LEN('Special Help Table'!$A949)-LEN(SUBSTITUTE('Special Help Table'!$A949,",",""))=1,LEN('Special Help Table'!$A949)-LEN(SUBSTITUTE('Special Help Table'!$A949," ",""))=3),'Special Help Table'!$A949)</f>
        <v>0</v>
      </c>
      <c r="C949" s="4" t="s">
        <v>1642</v>
      </c>
      <c r="D949" s="2"/>
      <c r="E949" s="2" t="s">
        <v>1491</v>
      </c>
      <c r="F949" s="2"/>
      <c r="G949" s="2"/>
      <c r="H949" s="2"/>
      <c r="I949" s="2"/>
      <c r="J949" s="2"/>
      <c r="K949" s="3">
        <v>42511</v>
      </c>
      <c r="L949" s="2"/>
      <c r="M949" s="2" t="s">
        <v>1643</v>
      </c>
      <c r="N949" s="2" t="s">
        <v>1494</v>
      </c>
    </row>
    <row r="950" spans="1:14" ht="15.75" customHeight="1" x14ac:dyDescent="0.35">
      <c r="A950" s="2"/>
      <c r="B950" s="2" cm="1">
        <f t="array" ref="B950">_xlfn.IFS(AND(LEN('Special Help Table'!$A950)-(LEN(SUBSTITUTE('Special Help Table'!$A950,";","")))=0,LEN('Special Help Table'!$A950)-LEN(SUBSTITUTE('Special Help Table'!$A950,",",""))=1,LEN('Special Help Table'!$A950)-LEN(SUBSTITUTE('Special Help Table'!$A950,"and ",""))=0),MID('Special Help Table'!$A950&amp;" "&amp;'Special Help Table'!$A950,SEARCH(", ",'Special Help Table'!$A950)+1,LEN('Special Help Table'!$A950)),AND(LEN('Special Help Table'!$A950)-(LEN(SUBSTITUTE('Special Help Table'!$A950,";","")))=1,LEN('Special Help Table'!$A950)-LEN(SUBSTITUTE('Special Help Table'!$A950,"and ",""))=0),MID('Special Help Table'!$A950,SEARCH(",",'Special Help Table'!$A950)+1,(SEARCH(";",'Special Help Table'!$A950)-1)-SEARCH(",",'Special Help Table'!$A950))&amp;" "&amp;LEFT('Special Help Table'!$A950,SEARCH(",",'Special Help Table'!$A950)-1)&amp;";"&amp;RIGHT('Special Help Table'!$A950,LEN('Special Help Table'!$A950)-SEARCH(",",'Special Help Table'!$A950,SEARCH(";",'Special Help Table'!$A950)))&amp;" "&amp;MID('Special Help Table'!$A950,SEARCH("; ",'Special Help Table'!$A950)+2,SEARCH(",",'Special Help Table'!$A950,SEARCH(";",'Special Help Table'!$A950))-SEARCH(";",'Special Help Table'!$A950)-2),AND(LEN('Special Help Table'!$A950)-LEN(SUBSTITUTE('Special Help Table'!$A950,"and ",""))=0,LEN('Special Help Table'!$A950)-LEN(SUBSTITUTE('Special Help Table'!$A950,";",""))=0),'Special Help Table'!$A950,AND(LEN('Special Help Table'!$A950)-LEN(SUBSTITUTE('Special Help Table'!$A950,",","")=1),LEN('Special Help Table'!$A950)-LEN(SUBSTITUTE('Special Help Table'!$A950," ","")=20),LEN('Special Help Table'!$A950)-LEN(SUBSTITUTE('Special Help Table'!$A950," and",""))=0,LEN('Special Help Table'!$A950)-LEN(SUBSTITUTE('Special Help Table'!$A950,",","",FIND(" ",'Special Help Table'!$A950)+1))=0),RIGHT('Special Help Table'!$A950,LEN('Special Help Table'!$A950)-FIND(", ",'Special Help Table'!$A950))&amp;" "&amp;LEFT('Special Help Table'!$A950,FIND(",",'Special Help Table'!$A950)-1),AND(LEN('Special Help Table'!$A950)-LEN(SUBSTITUTE('Special Help Table'!$A950,"editor",""))=6,LEN('Special Help Table'!$A950)-LEN(SUBSTITUTE('Special Help Table'!$A950,"(",""))=0,LEN('Special Help Table'!$A950)-LEN(SUBSTITUTE('Special Help Table'!$A950,"and",""))=3,LEN('Special Help Table'!$A950)-LEN(SUBSTITUTE('Special Help Table'!$A950,",",""))=1,LEN('Special Help Table'!$A950)-LEN(SUBSTITUTE('Special Help Table'!$A950," ",""))=3),'Special Help Table'!$A950)</f>
        <v>0</v>
      </c>
      <c r="C950" s="4" t="s">
        <v>1644</v>
      </c>
      <c r="D950" s="2"/>
      <c r="E950" s="2" t="s">
        <v>1491</v>
      </c>
      <c r="F950" s="2"/>
      <c r="G950" s="2"/>
      <c r="H950" s="2"/>
      <c r="I950" s="2"/>
      <c r="J950" s="2"/>
      <c r="K950" s="3">
        <v>40554</v>
      </c>
      <c r="L950" s="2"/>
      <c r="M950" s="2"/>
      <c r="N950" s="2" t="s">
        <v>1494</v>
      </c>
    </row>
    <row r="951" spans="1:14" ht="15.75" customHeight="1" x14ac:dyDescent="0.35">
      <c r="A951" s="2"/>
      <c r="B951" s="2" cm="1">
        <f t="array" ref="B951">_xlfn.IFS(AND(LEN('Special Help Table'!$A951)-(LEN(SUBSTITUTE('Special Help Table'!$A951,";","")))=0,LEN('Special Help Table'!$A951)-LEN(SUBSTITUTE('Special Help Table'!$A951,",",""))=1,LEN('Special Help Table'!$A951)-LEN(SUBSTITUTE('Special Help Table'!$A951,"and ",""))=0),MID('Special Help Table'!$A951&amp;" "&amp;'Special Help Table'!$A951,SEARCH(", ",'Special Help Table'!$A951)+1,LEN('Special Help Table'!$A951)),AND(LEN('Special Help Table'!$A951)-(LEN(SUBSTITUTE('Special Help Table'!$A951,";","")))=1,LEN('Special Help Table'!$A951)-LEN(SUBSTITUTE('Special Help Table'!$A951,"and ",""))=0),MID('Special Help Table'!$A951,SEARCH(",",'Special Help Table'!$A951)+1,(SEARCH(";",'Special Help Table'!$A951)-1)-SEARCH(",",'Special Help Table'!$A951))&amp;" "&amp;LEFT('Special Help Table'!$A951,SEARCH(",",'Special Help Table'!$A951)-1)&amp;";"&amp;RIGHT('Special Help Table'!$A951,LEN('Special Help Table'!$A951)-SEARCH(",",'Special Help Table'!$A951,SEARCH(";",'Special Help Table'!$A951)))&amp;" "&amp;MID('Special Help Table'!$A951,SEARCH("; ",'Special Help Table'!$A951)+2,SEARCH(",",'Special Help Table'!$A951,SEARCH(";",'Special Help Table'!$A951))-SEARCH(";",'Special Help Table'!$A951)-2),AND(LEN('Special Help Table'!$A951)-LEN(SUBSTITUTE('Special Help Table'!$A951,"and ",""))=0,LEN('Special Help Table'!$A951)-LEN(SUBSTITUTE('Special Help Table'!$A951,";",""))=0),'Special Help Table'!$A951,AND(LEN('Special Help Table'!$A951)-LEN(SUBSTITUTE('Special Help Table'!$A951,",","")=1),LEN('Special Help Table'!$A951)-LEN(SUBSTITUTE('Special Help Table'!$A951," ","")=20),LEN('Special Help Table'!$A951)-LEN(SUBSTITUTE('Special Help Table'!$A951," and",""))=0,LEN('Special Help Table'!$A951)-LEN(SUBSTITUTE('Special Help Table'!$A951,",","",FIND(" ",'Special Help Table'!$A951)+1))=0),RIGHT('Special Help Table'!$A951,LEN('Special Help Table'!$A951)-FIND(", ",'Special Help Table'!$A951))&amp;" "&amp;LEFT('Special Help Table'!$A951,FIND(",",'Special Help Table'!$A951)-1),AND(LEN('Special Help Table'!$A951)-LEN(SUBSTITUTE('Special Help Table'!$A951,"editor",""))=6,LEN('Special Help Table'!$A951)-LEN(SUBSTITUTE('Special Help Table'!$A951,"(",""))=0,LEN('Special Help Table'!$A951)-LEN(SUBSTITUTE('Special Help Table'!$A951,"and",""))=3,LEN('Special Help Table'!$A951)-LEN(SUBSTITUTE('Special Help Table'!$A951,",",""))=1,LEN('Special Help Table'!$A951)-LEN(SUBSTITUTE('Special Help Table'!$A951," ",""))=3),'Special Help Table'!$A951)</f>
        <v>0</v>
      </c>
      <c r="C951" s="4" t="s">
        <v>1645</v>
      </c>
      <c r="D951" s="2"/>
      <c r="E951" s="2" t="s">
        <v>1491</v>
      </c>
      <c r="F951" s="2"/>
      <c r="G951" s="2"/>
      <c r="H951" s="2"/>
      <c r="I951" s="2"/>
      <c r="J951" s="2"/>
      <c r="K951" s="3">
        <v>40036</v>
      </c>
      <c r="L951" s="2"/>
      <c r="M951" s="2"/>
      <c r="N951" s="2" t="s">
        <v>1494</v>
      </c>
    </row>
    <row r="952" spans="1:14" ht="15.75" customHeight="1" x14ac:dyDescent="0.35">
      <c r="A952" s="2"/>
      <c r="B952" s="2" cm="1">
        <f t="array" ref="B952">_xlfn.IFS(AND(LEN('Special Help Table'!$A952)-(LEN(SUBSTITUTE('Special Help Table'!$A952,";","")))=0,LEN('Special Help Table'!$A952)-LEN(SUBSTITUTE('Special Help Table'!$A952,",",""))=1,LEN('Special Help Table'!$A952)-LEN(SUBSTITUTE('Special Help Table'!$A952,"and ",""))=0),MID('Special Help Table'!$A952&amp;" "&amp;'Special Help Table'!$A952,SEARCH(", ",'Special Help Table'!$A952)+1,LEN('Special Help Table'!$A952)),AND(LEN('Special Help Table'!$A952)-(LEN(SUBSTITUTE('Special Help Table'!$A952,";","")))=1,LEN('Special Help Table'!$A952)-LEN(SUBSTITUTE('Special Help Table'!$A952,"and ",""))=0),MID('Special Help Table'!$A952,SEARCH(",",'Special Help Table'!$A952)+1,(SEARCH(";",'Special Help Table'!$A952)-1)-SEARCH(",",'Special Help Table'!$A952))&amp;" "&amp;LEFT('Special Help Table'!$A952,SEARCH(",",'Special Help Table'!$A952)-1)&amp;";"&amp;RIGHT('Special Help Table'!$A952,LEN('Special Help Table'!$A952)-SEARCH(",",'Special Help Table'!$A952,SEARCH(";",'Special Help Table'!$A952)))&amp;" "&amp;MID('Special Help Table'!$A952,SEARCH("; ",'Special Help Table'!$A952)+2,SEARCH(",",'Special Help Table'!$A952,SEARCH(";",'Special Help Table'!$A952))-SEARCH(";",'Special Help Table'!$A952)-2),AND(LEN('Special Help Table'!$A952)-LEN(SUBSTITUTE('Special Help Table'!$A952,"and ",""))=0,LEN('Special Help Table'!$A952)-LEN(SUBSTITUTE('Special Help Table'!$A952,";",""))=0),'Special Help Table'!$A952,AND(LEN('Special Help Table'!$A952)-LEN(SUBSTITUTE('Special Help Table'!$A952,",","")=1),LEN('Special Help Table'!$A952)-LEN(SUBSTITUTE('Special Help Table'!$A952," ","")=20),LEN('Special Help Table'!$A952)-LEN(SUBSTITUTE('Special Help Table'!$A952," and",""))=0,LEN('Special Help Table'!$A952)-LEN(SUBSTITUTE('Special Help Table'!$A952,",","",FIND(" ",'Special Help Table'!$A952)+1))=0),RIGHT('Special Help Table'!$A952,LEN('Special Help Table'!$A952)-FIND(", ",'Special Help Table'!$A952))&amp;" "&amp;LEFT('Special Help Table'!$A952,FIND(",",'Special Help Table'!$A952)-1),AND(LEN('Special Help Table'!$A952)-LEN(SUBSTITUTE('Special Help Table'!$A952,"editor",""))=6,LEN('Special Help Table'!$A952)-LEN(SUBSTITUTE('Special Help Table'!$A952,"(",""))=0,LEN('Special Help Table'!$A952)-LEN(SUBSTITUTE('Special Help Table'!$A952,"and",""))=3,LEN('Special Help Table'!$A952)-LEN(SUBSTITUTE('Special Help Table'!$A952,",",""))=1,LEN('Special Help Table'!$A952)-LEN(SUBSTITUTE('Special Help Table'!$A952," ",""))=3),'Special Help Table'!$A952)</f>
        <v>0</v>
      </c>
      <c r="C952" s="4" t="s">
        <v>1646</v>
      </c>
      <c r="D952" s="2"/>
      <c r="E952" s="2" t="s">
        <v>1491</v>
      </c>
      <c r="F952" s="2"/>
      <c r="G952" s="2"/>
      <c r="H952" s="2"/>
      <c r="I952" s="2"/>
      <c r="J952" s="2"/>
      <c r="K952" s="3">
        <v>42353</v>
      </c>
      <c r="L952" s="2"/>
      <c r="M952" s="2" t="s">
        <v>1647</v>
      </c>
      <c r="N952" s="2" t="s">
        <v>1494</v>
      </c>
    </row>
    <row r="953" spans="1:14" ht="15.75" customHeight="1" x14ac:dyDescent="0.35">
      <c r="A953" s="2"/>
      <c r="B953" s="2" cm="1">
        <f t="array" ref="B953">_xlfn.IFS(AND(LEN('Special Help Table'!$A953)-(LEN(SUBSTITUTE('Special Help Table'!$A953,";","")))=0,LEN('Special Help Table'!$A953)-LEN(SUBSTITUTE('Special Help Table'!$A953,",",""))=1,LEN('Special Help Table'!$A953)-LEN(SUBSTITUTE('Special Help Table'!$A953,"and ",""))=0),MID('Special Help Table'!$A953&amp;" "&amp;'Special Help Table'!$A953,SEARCH(", ",'Special Help Table'!$A953)+1,LEN('Special Help Table'!$A953)),AND(LEN('Special Help Table'!$A953)-(LEN(SUBSTITUTE('Special Help Table'!$A953,";","")))=1,LEN('Special Help Table'!$A953)-LEN(SUBSTITUTE('Special Help Table'!$A953,"and ",""))=0),MID('Special Help Table'!$A953,SEARCH(",",'Special Help Table'!$A953)+1,(SEARCH(";",'Special Help Table'!$A953)-1)-SEARCH(",",'Special Help Table'!$A953))&amp;" "&amp;LEFT('Special Help Table'!$A953,SEARCH(",",'Special Help Table'!$A953)-1)&amp;";"&amp;RIGHT('Special Help Table'!$A953,LEN('Special Help Table'!$A953)-SEARCH(",",'Special Help Table'!$A953,SEARCH(";",'Special Help Table'!$A953)))&amp;" "&amp;MID('Special Help Table'!$A953,SEARCH("; ",'Special Help Table'!$A953)+2,SEARCH(",",'Special Help Table'!$A953,SEARCH(";",'Special Help Table'!$A953))-SEARCH(";",'Special Help Table'!$A953)-2),AND(LEN('Special Help Table'!$A953)-LEN(SUBSTITUTE('Special Help Table'!$A953,"and ",""))=0,LEN('Special Help Table'!$A953)-LEN(SUBSTITUTE('Special Help Table'!$A953,";",""))=0),'Special Help Table'!$A953,AND(LEN('Special Help Table'!$A953)-LEN(SUBSTITUTE('Special Help Table'!$A953,",","")=1),LEN('Special Help Table'!$A953)-LEN(SUBSTITUTE('Special Help Table'!$A953," ","")=20),LEN('Special Help Table'!$A953)-LEN(SUBSTITUTE('Special Help Table'!$A953," and",""))=0,LEN('Special Help Table'!$A953)-LEN(SUBSTITUTE('Special Help Table'!$A953,",","",FIND(" ",'Special Help Table'!$A953)+1))=0),RIGHT('Special Help Table'!$A953,LEN('Special Help Table'!$A953)-FIND(", ",'Special Help Table'!$A953))&amp;" "&amp;LEFT('Special Help Table'!$A953,FIND(",",'Special Help Table'!$A953)-1),AND(LEN('Special Help Table'!$A953)-LEN(SUBSTITUTE('Special Help Table'!$A953,"editor",""))=6,LEN('Special Help Table'!$A953)-LEN(SUBSTITUTE('Special Help Table'!$A953,"(",""))=0,LEN('Special Help Table'!$A953)-LEN(SUBSTITUTE('Special Help Table'!$A953,"and",""))=3,LEN('Special Help Table'!$A953)-LEN(SUBSTITUTE('Special Help Table'!$A953,",",""))=1,LEN('Special Help Table'!$A953)-LEN(SUBSTITUTE('Special Help Table'!$A953," ",""))=3),'Special Help Table'!$A953)</f>
        <v>0</v>
      </c>
      <c r="C953" s="4" t="s">
        <v>1648</v>
      </c>
      <c r="D953" s="2"/>
      <c r="E953" s="2" t="s">
        <v>1491</v>
      </c>
      <c r="F953" s="2"/>
      <c r="G953" s="2"/>
      <c r="H953" s="2"/>
      <c r="I953" s="2"/>
      <c r="J953" s="2"/>
      <c r="K953" s="3">
        <v>42966</v>
      </c>
      <c r="L953" s="2"/>
      <c r="M953" s="2"/>
      <c r="N953" s="2" t="s">
        <v>1494</v>
      </c>
    </row>
    <row r="954" spans="1:14" ht="15.75" customHeight="1" x14ac:dyDescent="0.35">
      <c r="A954" s="2"/>
      <c r="B954" s="2" cm="1">
        <f t="array" ref="B954">_xlfn.IFS(AND(LEN('Special Help Table'!$A954)-(LEN(SUBSTITUTE('Special Help Table'!$A954,";","")))=0,LEN('Special Help Table'!$A954)-LEN(SUBSTITUTE('Special Help Table'!$A954,",",""))=1,LEN('Special Help Table'!$A954)-LEN(SUBSTITUTE('Special Help Table'!$A954,"and ",""))=0),MID('Special Help Table'!$A954&amp;" "&amp;'Special Help Table'!$A954,SEARCH(", ",'Special Help Table'!$A954)+1,LEN('Special Help Table'!$A954)),AND(LEN('Special Help Table'!$A954)-(LEN(SUBSTITUTE('Special Help Table'!$A954,";","")))=1,LEN('Special Help Table'!$A954)-LEN(SUBSTITUTE('Special Help Table'!$A954,"and ",""))=0),MID('Special Help Table'!$A954,SEARCH(",",'Special Help Table'!$A954)+1,(SEARCH(";",'Special Help Table'!$A954)-1)-SEARCH(",",'Special Help Table'!$A954))&amp;" "&amp;LEFT('Special Help Table'!$A954,SEARCH(",",'Special Help Table'!$A954)-1)&amp;";"&amp;RIGHT('Special Help Table'!$A954,LEN('Special Help Table'!$A954)-SEARCH(",",'Special Help Table'!$A954,SEARCH(";",'Special Help Table'!$A954)))&amp;" "&amp;MID('Special Help Table'!$A954,SEARCH("; ",'Special Help Table'!$A954)+2,SEARCH(",",'Special Help Table'!$A954,SEARCH(";",'Special Help Table'!$A954))-SEARCH(";",'Special Help Table'!$A954)-2),AND(LEN('Special Help Table'!$A954)-LEN(SUBSTITUTE('Special Help Table'!$A954,"and ",""))=0,LEN('Special Help Table'!$A954)-LEN(SUBSTITUTE('Special Help Table'!$A954,";",""))=0),'Special Help Table'!$A954,AND(LEN('Special Help Table'!$A954)-LEN(SUBSTITUTE('Special Help Table'!$A954,",","")=1),LEN('Special Help Table'!$A954)-LEN(SUBSTITUTE('Special Help Table'!$A954," ","")=20),LEN('Special Help Table'!$A954)-LEN(SUBSTITUTE('Special Help Table'!$A954," and",""))=0,LEN('Special Help Table'!$A954)-LEN(SUBSTITUTE('Special Help Table'!$A954,",","",FIND(" ",'Special Help Table'!$A954)+1))=0),RIGHT('Special Help Table'!$A954,LEN('Special Help Table'!$A954)-FIND(", ",'Special Help Table'!$A954))&amp;" "&amp;LEFT('Special Help Table'!$A954,FIND(",",'Special Help Table'!$A954)-1),AND(LEN('Special Help Table'!$A954)-LEN(SUBSTITUTE('Special Help Table'!$A954,"editor",""))=6,LEN('Special Help Table'!$A954)-LEN(SUBSTITUTE('Special Help Table'!$A954,"(",""))=0,LEN('Special Help Table'!$A954)-LEN(SUBSTITUTE('Special Help Table'!$A954,"and",""))=3,LEN('Special Help Table'!$A954)-LEN(SUBSTITUTE('Special Help Table'!$A954,",",""))=1,LEN('Special Help Table'!$A954)-LEN(SUBSTITUTE('Special Help Table'!$A954," ",""))=3),'Special Help Table'!$A954)</f>
        <v>0</v>
      </c>
      <c r="C954" s="4" t="s">
        <v>1649</v>
      </c>
      <c r="D954" s="2"/>
      <c r="E954" s="2" t="s">
        <v>1491</v>
      </c>
      <c r="F954" s="2"/>
      <c r="G954" s="2"/>
      <c r="H954" s="2"/>
      <c r="I954" s="2"/>
      <c r="J954" s="2"/>
      <c r="K954" s="3">
        <v>41653</v>
      </c>
      <c r="L954" s="2"/>
      <c r="M954" s="2"/>
      <c r="N954" s="2" t="s">
        <v>1494</v>
      </c>
    </row>
    <row r="955" spans="1:14" ht="15.75" customHeight="1" x14ac:dyDescent="0.35">
      <c r="A955" s="2"/>
      <c r="B955" s="2" cm="1">
        <f t="array" ref="B955">_xlfn.IFS(AND(LEN('Special Help Table'!$A955)-(LEN(SUBSTITUTE('Special Help Table'!$A955,";","")))=0,LEN('Special Help Table'!$A955)-LEN(SUBSTITUTE('Special Help Table'!$A955,",",""))=1,LEN('Special Help Table'!$A955)-LEN(SUBSTITUTE('Special Help Table'!$A955,"and ",""))=0),MID('Special Help Table'!$A955&amp;" "&amp;'Special Help Table'!$A955,SEARCH(", ",'Special Help Table'!$A955)+1,LEN('Special Help Table'!$A955)),AND(LEN('Special Help Table'!$A955)-(LEN(SUBSTITUTE('Special Help Table'!$A955,";","")))=1,LEN('Special Help Table'!$A955)-LEN(SUBSTITUTE('Special Help Table'!$A955,"and ",""))=0),MID('Special Help Table'!$A955,SEARCH(",",'Special Help Table'!$A955)+1,(SEARCH(";",'Special Help Table'!$A955)-1)-SEARCH(",",'Special Help Table'!$A955))&amp;" "&amp;LEFT('Special Help Table'!$A955,SEARCH(",",'Special Help Table'!$A955)-1)&amp;";"&amp;RIGHT('Special Help Table'!$A955,LEN('Special Help Table'!$A955)-SEARCH(",",'Special Help Table'!$A955,SEARCH(";",'Special Help Table'!$A955)))&amp;" "&amp;MID('Special Help Table'!$A955,SEARCH("; ",'Special Help Table'!$A955)+2,SEARCH(",",'Special Help Table'!$A955,SEARCH(";",'Special Help Table'!$A955))-SEARCH(";",'Special Help Table'!$A955)-2),AND(LEN('Special Help Table'!$A955)-LEN(SUBSTITUTE('Special Help Table'!$A955,"and ",""))=0,LEN('Special Help Table'!$A955)-LEN(SUBSTITUTE('Special Help Table'!$A955,";",""))=0),'Special Help Table'!$A955,AND(LEN('Special Help Table'!$A955)-LEN(SUBSTITUTE('Special Help Table'!$A955,",","")=1),LEN('Special Help Table'!$A955)-LEN(SUBSTITUTE('Special Help Table'!$A955," ","")=20),LEN('Special Help Table'!$A955)-LEN(SUBSTITUTE('Special Help Table'!$A955," and",""))=0,LEN('Special Help Table'!$A955)-LEN(SUBSTITUTE('Special Help Table'!$A955,",","",FIND(" ",'Special Help Table'!$A955)+1))=0),RIGHT('Special Help Table'!$A955,LEN('Special Help Table'!$A955)-FIND(", ",'Special Help Table'!$A955))&amp;" "&amp;LEFT('Special Help Table'!$A955,FIND(",",'Special Help Table'!$A955)-1),AND(LEN('Special Help Table'!$A955)-LEN(SUBSTITUTE('Special Help Table'!$A955,"editor",""))=6,LEN('Special Help Table'!$A955)-LEN(SUBSTITUTE('Special Help Table'!$A955,"(",""))=0,LEN('Special Help Table'!$A955)-LEN(SUBSTITUTE('Special Help Table'!$A955,"and",""))=3,LEN('Special Help Table'!$A955)-LEN(SUBSTITUTE('Special Help Table'!$A955,",",""))=1,LEN('Special Help Table'!$A955)-LEN(SUBSTITUTE('Special Help Table'!$A955," ",""))=3),'Special Help Table'!$A955)</f>
        <v>0</v>
      </c>
      <c r="C955" s="4" t="s">
        <v>1650</v>
      </c>
      <c r="D955" s="2"/>
      <c r="E955" s="2" t="s">
        <v>1491</v>
      </c>
      <c r="F955" s="2"/>
      <c r="G955" s="2"/>
      <c r="H955" s="2"/>
      <c r="I955" s="2"/>
      <c r="J955" s="2"/>
      <c r="K955" s="3">
        <v>40188</v>
      </c>
      <c r="L955" s="2"/>
      <c r="M955" s="2"/>
      <c r="N955" s="2" t="s">
        <v>1494</v>
      </c>
    </row>
    <row r="956" spans="1:14" ht="15.75" customHeight="1" x14ac:dyDescent="0.35">
      <c r="A956" s="2"/>
      <c r="B956" s="2" cm="1">
        <f t="array" ref="B956">_xlfn.IFS(AND(LEN('Special Help Table'!$A956)-(LEN(SUBSTITUTE('Special Help Table'!$A956,";","")))=0,LEN('Special Help Table'!$A956)-LEN(SUBSTITUTE('Special Help Table'!$A956,",",""))=1,LEN('Special Help Table'!$A956)-LEN(SUBSTITUTE('Special Help Table'!$A956,"and ",""))=0),MID('Special Help Table'!$A956&amp;" "&amp;'Special Help Table'!$A956,SEARCH(", ",'Special Help Table'!$A956)+1,LEN('Special Help Table'!$A956)),AND(LEN('Special Help Table'!$A956)-(LEN(SUBSTITUTE('Special Help Table'!$A956,";","")))=1,LEN('Special Help Table'!$A956)-LEN(SUBSTITUTE('Special Help Table'!$A956,"and ",""))=0),MID('Special Help Table'!$A956,SEARCH(",",'Special Help Table'!$A956)+1,(SEARCH(";",'Special Help Table'!$A956)-1)-SEARCH(",",'Special Help Table'!$A956))&amp;" "&amp;LEFT('Special Help Table'!$A956,SEARCH(",",'Special Help Table'!$A956)-1)&amp;";"&amp;RIGHT('Special Help Table'!$A956,LEN('Special Help Table'!$A956)-SEARCH(",",'Special Help Table'!$A956,SEARCH(";",'Special Help Table'!$A956)))&amp;" "&amp;MID('Special Help Table'!$A956,SEARCH("; ",'Special Help Table'!$A956)+2,SEARCH(",",'Special Help Table'!$A956,SEARCH(";",'Special Help Table'!$A956))-SEARCH(";",'Special Help Table'!$A956)-2),AND(LEN('Special Help Table'!$A956)-LEN(SUBSTITUTE('Special Help Table'!$A956,"and ",""))=0,LEN('Special Help Table'!$A956)-LEN(SUBSTITUTE('Special Help Table'!$A956,";",""))=0),'Special Help Table'!$A956,AND(LEN('Special Help Table'!$A956)-LEN(SUBSTITUTE('Special Help Table'!$A956,",","")=1),LEN('Special Help Table'!$A956)-LEN(SUBSTITUTE('Special Help Table'!$A956," ","")=20),LEN('Special Help Table'!$A956)-LEN(SUBSTITUTE('Special Help Table'!$A956," and",""))=0,LEN('Special Help Table'!$A956)-LEN(SUBSTITUTE('Special Help Table'!$A956,",","",FIND(" ",'Special Help Table'!$A956)+1))=0),RIGHT('Special Help Table'!$A956,LEN('Special Help Table'!$A956)-FIND(", ",'Special Help Table'!$A956))&amp;" "&amp;LEFT('Special Help Table'!$A956,FIND(",",'Special Help Table'!$A956)-1),AND(LEN('Special Help Table'!$A956)-LEN(SUBSTITUTE('Special Help Table'!$A956,"editor",""))=6,LEN('Special Help Table'!$A956)-LEN(SUBSTITUTE('Special Help Table'!$A956,"(",""))=0,LEN('Special Help Table'!$A956)-LEN(SUBSTITUTE('Special Help Table'!$A956,"and",""))=3,LEN('Special Help Table'!$A956)-LEN(SUBSTITUTE('Special Help Table'!$A956,",",""))=1,LEN('Special Help Table'!$A956)-LEN(SUBSTITUTE('Special Help Table'!$A956," ",""))=3),'Special Help Table'!$A956)</f>
        <v>0</v>
      </c>
      <c r="C956" s="4" t="s">
        <v>1651</v>
      </c>
      <c r="D956" s="2"/>
      <c r="E956" s="2" t="s">
        <v>1491</v>
      </c>
      <c r="F956" s="2"/>
      <c r="G956" s="2"/>
      <c r="H956" s="2"/>
      <c r="I956" s="2"/>
      <c r="J956" s="2"/>
      <c r="K956" s="3">
        <v>40188</v>
      </c>
      <c r="L956" s="2"/>
      <c r="M956" s="2"/>
      <c r="N956" s="2" t="s">
        <v>1494</v>
      </c>
    </row>
    <row r="957" spans="1:14" ht="15.75" customHeight="1" x14ac:dyDescent="0.35">
      <c r="A957" s="2"/>
      <c r="B957" s="2" cm="1">
        <f t="array" ref="B957">_xlfn.IFS(AND(LEN('Special Help Table'!$A957)-(LEN(SUBSTITUTE('Special Help Table'!$A957,";","")))=0,LEN('Special Help Table'!$A957)-LEN(SUBSTITUTE('Special Help Table'!$A957,",",""))=1,LEN('Special Help Table'!$A957)-LEN(SUBSTITUTE('Special Help Table'!$A957,"and ",""))=0),MID('Special Help Table'!$A957&amp;" "&amp;'Special Help Table'!$A957,SEARCH(", ",'Special Help Table'!$A957)+1,LEN('Special Help Table'!$A957)),AND(LEN('Special Help Table'!$A957)-(LEN(SUBSTITUTE('Special Help Table'!$A957,";","")))=1,LEN('Special Help Table'!$A957)-LEN(SUBSTITUTE('Special Help Table'!$A957,"and ",""))=0),MID('Special Help Table'!$A957,SEARCH(",",'Special Help Table'!$A957)+1,(SEARCH(";",'Special Help Table'!$A957)-1)-SEARCH(",",'Special Help Table'!$A957))&amp;" "&amp;LEFT('Special Help Table'!$A957,SEARCH(",",'Special Help Table'!$A957)-1)&amp;";"&amp;RIGHT('Special Help Table'!$A957,LEN('Special Help Table'!$A957)-SEARCH(",",'Special Help Table'!$A957,SEARCH(";",'Special Help Table'!$A957)))&amp;" "&amp;MID('Special Help Table'!$A957,SEARCH("; ",'Special Help Table'!$A957)+2,SEARCH(",",'Special Help Table'!$A957,SEARCH(";",'Special Help Table'!$A957))-SEARCH(";",'Special Help Table'!$A957)-2),AND(LEN('Special Help Table'!$A957)-LEN(SUBSTITUTE('Special Help Table'!$A957,"and ",""))=0,LEN('Special Help Table'!$A957)-LEN(SUBSTITUTE('Special Help Table'!$A957,";",""))=0),'Special Help Table'!$A957,AND(LEN('Special Help Table'!$A957)-LEN(SUBSTITUTE('Special Help Table'!$A957,",","")=1),LEN('Special Help Table'!$A957)-LEN(SUBSTITUTE('Special Help Table'!$A957," ","")=20),LEN('Special Help Table'!$A957)-LEN(SUBSTITUTE('Special Help Table'!$A957," and",""))=0,LEN('Special Help Table'!$A957)-LEN(SUBSTITUTE('Special Help Table'!$A957,",","",FIND(" ",'Special Help Table'!$A957)+1))=0),RIGHT('Special Help Table'!$A957,LEN('Special Help Table'!$A957)-FIND(", ",'Special Help Table'!$A957))&amp;" "&amp;LEFT('Special Help Table'!$A957,FIND(",",'Special Help Table'!$A957)-1),AND(LEN('Special Help Table'!$A957)-LEN(SUBSTITUTE('Special Help Table'!$A957,"editor",""))=6,LEN('Special Help Table'!$A957)-LEN(SUBSTITUTE('Special Help Table'!$A957,"(",""))=0,LEN('Special Help Table'!$A957)-LEN(SUBSTITUTE('Special Help Table'!$A957,"and",""))=3,LEN('Special Help Table'!$A957)-LEN(SUBSTITUTE('Special Help Table'!$A957,",",""))=1,LEN('Special Help Table'!$A957)-LEN(SUBSTITUTE('Special Help Table'!$A957," ",""))=3),'Special Help Table'!$A957)</f>
        <v>0</v>
      </c>
      <c r="C957" s="4" t="s">
        <v>1652</v>
      </c>
      <c r="D957" s="2"/>
      <c r="E957" s="2" t="s">
        <v>1491</v>
      </c>
      <c r="F957" s="2"/>
      <c r="G957" s="2"/>
      <c r="H957" s="2"/>
      <c r="I957" s="2"/>
      <c r="J957" s="2"/>
      <c r="K957" s="3">
        <v>40188</v>
      </c>
      <c r="L957" s="2"/>
      <c r="M957" s="2"/>
      <c r="N957" s="2" t="s">
        <v>1494</v>
      </c>
    </row>
    <row r="958" spans="1:14" ht="15.75" customHeight="1" x14ac:dyDescent="0.35">
      <c r="A958" s="2"/>
      <c r="B958" s="2" cm="1">
        <f t="array" ref="B958">_xlfn.IFS(AND(LEN('Special Help Table'!$A958)-(LEN(SUBSTITUTE('Special Help Table'!$A958,";","")))=0,LEN('Special Help Table'!$A958)-LEN(SUBSTITUTE('Special Help Table'!$A958,",",""))=1,LEN('Special Help Table'!$A958)-LEN(SUBSTITUTE('Special Help Table'!$A958,"and ",""))=0),MID('Special Help Table'!$A958&amp;" "&amp;'Special Help Table'!$A958,SEARCH(", ",'Special Help Table'!$A958)+1,LEN('Special Help Table'!$A958)),AND(LEN('Special Help Table'!$A958)-(LEN(SUBSTITUTE('Special Help Table'!$A958,";","")))=1,LEN('Special Help Table'!$A958)-LEN(SUBSTITUTE('Special Help Table'!$A958,"and ",""))=0),MID('Special Help Table'!$A958,SEARCH(",",'Special Help Table'!$A958)+1,(SEARCH(";",'Special Help Table'!$A958)-1)-SEARCH(",",'Special Help Table'!$A958))&amp;" "&amp;LEFT('Special Help Table'!$A958,SEARCH(",",'Special Help Table'!$A958)-1)&amp;";"&amp;RIGHT('Special Help Table'!$A958,LEN('Special Help Table'!$A958)-SEARCH(",",'Special Help Table'!$A958,SEARCH(";",'Special Help Table'!$A958)))&amp;" "&amp;MID('Special Help Table'!$A958,SEARCH("; ",'Special Help Table'!$A958)+2,SEARCH(",",'Special Help Table'!$A958,SEARCH(";",'Special Help Table'!$A958))-SEARCH(";",'Special Help Table'!$A958)-2),AND(LEN('Special Help Table'!$A958)-LEN(SUBSTITUTE('Special Help Table'!$A958,"and ",""))=0,LEN('Special Help Table'!$A958)-LEN(SUBSTITUTE('Special Help Table'!$A958,";",""))=0),'Special Help Table'!$A958,AND(LEN('Special Help Table'!$A958)-LEN(SUBSTITUTE('Special Help Table'!$A958,",","")=1),LEN('Special Help Table'!$A958)-LEN(SUBSTITUTE('Special Help Table'!$A958," ","")=20),LEN('Special Help Table'!$A958)-LEN(SUBSTITUTE('Special Help Table'!$A958," and",""))=0,LEN('Special Help Table'!$A958)-LEN(SUBSTITUTE('Special Help Table'!$A958,",","",FIND(" ",'Special Help Table'!$A958)+1))=0),RIGHT('Special Help Table'!$A958,LEN('Special Help Table'!$A958)-FIND(", ",'Special Help Table'!$A958))&amp;" "&amp;LEFT('Special Help Table'!$A958,FIND(",",'Special Help Table'!$A958)-1),AND(LEN('Special Help Table'!$A958)-LEN(SUBSTITUTE('Special Help Table'!$A958,"editor",""))=6,LEN('Special Help Table'!$A958)-LEN(SUBSTITUTE('Special Help Table'!$A958,"(",""))=0,LEN('Special Help Table'!$A958)-LEN(SUBSTITUTE('Special Help Table'!$A958,"and",""))=3,LEN('Special Help Table'!$A958)-LEN(SUBSTITUTE('Special Help Table'!$A958,",",""))=1,LEN('Special Help Table'!$A958)-LEN(SUBSTITUTE('Special Help Table'!$A958," ",""))=3),'Special Help Table'!$A958)</f>
        <v>0</v>
      </c>
      <c r="C958" s="4" t="s">
        <v>1653</v>
      </c>
      <c r="D958" s="2"/>
      <c r="E958" s="2" t="s">
        <v>1491</v>
      </c>
      <c r="F958" s="2"/>
      <c r="G958" s="2"/>
      <c r="H958" s="2"/>
      <c r="I958" s="2"/>
      <c r="J958" s="2"/>
      <c r="K958" s="3">
        <v>40188</v>
      </c>
      <c r="L958" s="2"/>
      <c r="M958" s="2"/>
      <c r="N958" s="2" t="s">
        <v>1494</v>
      </c>
    </row>
    <row r="959" spans="1:14" ht="15.75" customHeight="1" x14ac:dyDescent="0.35">
      <c r="A959" s="2"/>
      <c r="B959" s="2" cm="1">
        <f t="array" ref="B959">_xlfn.IFS(AND(LEN('Special Help Table'!$A959)-(LEN(SUBSTITUTE('Special Help Table'!$A959,";","")))=0,LEN('Special Help Table'!$A959)-LEN(SUBSTITUTE('Special Help Table'!$A959,",",""))=1,LEN('Special Help Table'!$A959)-LEN(SUBSTITUTE('Special Help Table'!$A959,"and ",""))=0),MID('Special Help Table'!$A959&amp;" "&amp;'Special Help Table'!$A959,SEARCH(", ",'Special Help Table'!$A959)+1,LEN('Special Help Table'!$A959)),AND(LEN('Special Help Table'!$A959)-(LEN(SUBSTITUTE('Special Help Table'!$A959,";","")))=1,LEN('Special Help Table'!$A959)-LEN(SUBSTITUTE('Special Help Table'!$A959,"and ",""))=0),MID('Special Help Table'!$A959,SEARCH(",",'Special Help Table'!$A959)+1,(SEARCH(";",'Special Help Table'!$A959)-1)-SEARCH(",",'Special Help Table'!$A959))&amp;" "&amp;LEFT('Special Help Table'!$A959,SEARCH(",",'Special Help Table'!$A959)-1)&amp;";"&amp;RIGHT('Special Help Table'!$A959,LEN('Special Help Table'!$A959)-SEARCH(",",'Special Help Table'!$A959,SEARCH(";",'Special Help Table'!$A959)))&amp;" "&amp;MID('Special Help Table'!$A959,SEARCH("; ",'Special Help Table'!$A959)+2,SEARCH(",",'Special Help Table'!$A959,SEARCH(";",'Special Help Table'!$A959))-SEARCH(";",'Special Help Table'!$A959)-2),AND(LEN('Special Help Table'!$A959)-LEN(SUBSTITUTE('Special Help Table'!$A959,"and ",""))=0,LEN('Special Help Table'!$A959)-LEN(SUBSTITUTE('Special Help Table'!$A959,";",""))=0),'Special Help Table'!$A959,AND(LEN('Special Help Table'!$A959)-LEN(SUBSTITUTE('Special Help Table'!$A959,",","")=1),LEN('Special Help Table'!$A959)-LEN(SUBSTITUTE('Special Help Table'!$A959," ","")=20),LEN('Special Help Table'!$A959)-LEN(SUBSTITUTE('Special Help Table'!$A959," and",""))=0,LEN('Special Help Table'!$A959)-LEN(SUBSTITUTE('Special Help Table'!$A959,",","",FIND(" ",'Special Help Table'!$A959)+1))=0),RIGHT('Special Help Table'!$A959,LEN('Special Help Table'!$A959)-FIND(", ",'Special Help Table'!$A959))&amp;" "&amp;LEFT('Special Help Table'!$A959,FIND(",",'Special Help Table'!$A959)-1),AND(LEN('Special Help Table'!$A959)-LEN(SUBSTITUTE('Special Help Table'!$A959,"editor",""))=6,LEN('Special Help Table'!$A959)-LEN(SUBSTITUTE('Special Help Table'!$A959,"(",""))=0,LEN('Special Help Table'!$A959)-LEN(SUBSTITUTE('Special Help Table'!$A959,"and",""))=3,LEN('Special Help Table'!$A959)-LEN(SUBSTITUTE('Special Help Table'!$A959,",",""))=1,LEN('Special Help Table'!$A959)-LEN(SUBSTITUTE('Special Help Table'!$A959," ",""))=3),'Special Help Table'!$A959)</f>
        <v>0</v>
      </c>
      <c r="C959" s="4" t="s">
        <v>1654</v>
      </c>
      <c r="D959" s="2"/>
      <c r="E959" s="2" t="s">
        <v>1491</v>
      </c>
      <c r="F959" s="2"/>
      <c r="G959" s="2"/>
      <c r="H959" s="2"/>
      <c r="I959" s="2"/>
      <c r="J959" s="2"/>
      <c r="K959" s="3">
        <v>40188</v>
      </c>
      <c r="L959" s="2"/>
      <c r="M959" s="2"/>
      <c r="N959" s="2" t="s">
        <v>1494</v>
      </c>
    </row>
    <row r="960" spans="1:14" ht="15.75" customHeight="1" x14ac:dyDescent="0.35">
      <c r="A960" s="2"/>
      <c r="B960" s="2" cm="1">
        <f t="array" ref="B960">_xlfn.IFS(AND(LEN('Special Help Table'!$A960)-(LEN(SUBSTITUTE('Special Help Table'!$A960,";","")))=0,LEN('Special Help Table'!$A960)-LEN(SUBSTITUTE('Special Help Table'!$A960,",",""))=1,LEN('Special Help Table'!$A960)-LEN(SUBSTITUTE('Special Help Table'!$A960,"and ",""))=0),MID('Special Help Table'!$A960&amp;" "&amp;'Special Help Table'!$A960,SEARCH(", ",'Special Help Table'!$A960)+1,LEN('Special Help Table'!$A960)),AND(LEN('Special Help Table'!$A960)-(LEN(SUBSTITUTE('Special Help Table'!$A960,";","")))=1,LEN('Special Help Table'!$A960)-LEN(SUBSTITUTE('Special Help Table'!$A960,"and ",""))=0),MID('Special Help Table'!$A960,SEARCH(",",'Special Help Table'!$A960)+1,(SEARCH(";",'Special Help Table'!$A960)-1)-SEARCH(",",'Special Help Table'!$A960))&amp;" "&amp;LEFT('Special Help Table'!$A960,SEARCH(",",'Special Help Table'!$A960)-1)&amp;";"&amp;RIGHT('Special Help Table'!$A960,LEN('Special Help Table'!$A960)-SEARCH(",",'Special Help Table'!$A960,SEARCH(";",'Special Help Table'!$A960)))&amp;" "&amp;MID('Special Help Table'!$A960,SEARCH("; ",'Special Help Table'!$A960)+2,SEARCH(",",'Special Help Table'!$A960,SEARCH(";",'Special Help Table'!$A960))-SEARCH(";",'Special Help Table'!$A960)-2),AND(LEN('Special Help Table'!$A960)-LEN(SUBSTITUTE('Special Help Table'!$A960,"and ",""))=0,LEN('Special Help Table'!$A960)-LEN(SUBSTITUTE('Special Help Table'!$A960,";",""))=0),'Special Help Table'!$A960,AND(LEN('Special Help Table'!$A960)-LEN(SUBSTITUTE('Special Help Table'!$A960,",","")=1),LEN('Special Help Table'!$A960)-LEN(SUBSTITUTE('Special Help Table'!$A960," ","")=20),LEN('Special Help Table'!$A960)-LEN(SUBSTITUTE('Special Help Table'!$A960," and",""))=0,LEN('Special Help Table'!$A960)-LEN(SUBSTITUTE('Special Help Table'!$A960,",","",FIND(" ",'Special Help Table'!$A960)+1))=0),RIGHT('Special Help Table'!$A960,LEN('Special Help Table'!$A960)-FIND(", ",'Special Help Table'!$A960))&amp;" "&amp;LEFT('Special Help Table'!$A960,FIND(",",'Special Help Table'!$A960)-1),AND(LEN('Special Help Table'!$A960)-LEN(SUBSTITUTE('Special Help Table'!$A960,"editor",""))=6,LEN('Special Help Table'!$A960)-LEN(SUBSTITUTE('Special Help Table'!$A960,"(",""))=0,LEN('Special Help Table'!$A960)-LEN(SUBSTITUTE('Special Help Table'!$A960,"and",""))=3,LEN('Special Help Table'!$A960)-LEN(SUBSTITUTE('Special Help Table'!$A960,",",""))=1,LEN('Special Help Table'!$A960)-LEN(SUBSTITUTE('Special Help Table'!$A960," ",""))=3),'Special Help Table'!$A960)</f>
        <v>0</v>
      </c>
      <c r="C960" s="4" t="s">
        <v>1655</v>
      </c>
      <c r="D960" s="2"/>
      <c r="E960" s="2" t="s">
        <v>1491</v>
      </c>
      <c r="F960" s="2"/>
      <c r="G960" s="2"/>
      <c r="H960" s="2"/>
      <c r="I960" s="2"/>
      <c r="J960" s="2"/>
      <c r="K960" s="3"/>
      <c r="L960" s="2"/>
      <c r="M960" s="2"/>
      <c r="N960" s="2" t="s">
        <v>1494</v>
      </c>
    </row>
    <row r="961" spans="1:14" ht="15.75" customHeight="1" x14ac:dyDescent="0.35">
      <c r="A961" s="2"/>
      <c r="B961" s="2" cm="1">
        <f t="array" ref="B961">_xlfn.IFS(AND(LEN('Special Help Table'!$A961)-(LEN(SUBSTITUTE('Special Help Table'!$A961,";","")))=0,LEN('Special Help Table'!$A961)-LEN(SUBSTITUTE('Special Help Table'!$A961,",",""))=1,LEN('Special Help Table'!$A961)-LEN(SUBSTITUTE('Special Help Table'!$A961,"and ",""))=0),MID('Special Help Table'!$A961&amp;" "&amp;'Special Help Table'!$A961,SEARCH(", ",'Special Help Table'!$A961)+1,LEN('Special Help Table'!$A961)),AND(LEN('Special Help Table'!$A961)-(LEN(SUBSTITUTE('Special Help Table'!$A961,";","")))=1,LEN('Special Help Table'!$A961)-LEN(SUBSTITUTE('Special Help Table'!$A961,"and ",""))=0),MID('Special Help Table'!$A961,SEARCH(",",'Special Help Table'!$A961)+1,(SEARCH(";",'Special Help Table'!$A961)-1)-SEARCH(",",'Special Help Table'!$A961))&amp;" "&amp;LEFT('Special Help Table'!$A961,SEARCH(",",'Special Help Table'!$A961)-1)&amp;";"&amp;RIGHT('Special Help Table'!$A961,LEN('Special Help Table'!$A961)-SEARCH(",",'Special Help Table'!$A961,SEARCH(";",'Special Help Table'!$A961)))&amp;" "&amp;MID('Special Help Table'!$A961,SEARCH("; ",'Special Help Table'!$A961)+2,SEARCH(",",'Special Help Table'!$A961,SEARCH(";",'Special Help Table'!$A961))-SEARCH(";",'Special Help Table'!$A961)-2),AND(LEN('Special Help Table'!$A961)-LEN(SUBSTITUTE('Special Help Table'!$A961,"and ",""))=0,LEN('Special Help Table'!$A961)-LEN(SUBSTITUTE('Special Help Table'!$A961,";",""))=0),'Special Help Table'!$A961,AND(LEN('Special Help Table'!$A961)-LEN(SUBSTITUTE('Special Help Table'!$A961,",","")=1),LEN('Special Help Table'!$A961)-LEN(SUBSTITUTE('Special Help Table'!$A961," ","")=20),LEN('Special Help Table'!$A961)-LEN(SUBSTITUTE('Special Help Table'!$A961," and",""))=0,LEN('Special Help Table'!$A961)-LEN(SUBSTITUTE('Special Help Table'!$A961,",","",FIND(" ",'Special Help Table'!$A961)+1))=0),RIGHT('Special Help Table'!$A961,LEN('Special Help Table'!$A961)-FIND(", ",'Special Help Table'!$A961))&amp;" "&amp;LEFT('Special Help Table'!$A961,FIND(",",'Special Help Table'!$A961)-1),AND(LEN('Special Help Table'!$A961)-LEN(SUBSTITUTE('Special Help Table'!$A961,"editor",""))=6,LEN('Special Help Table'!$A961)-LEN(SUBSTITUTE('Special Help Table'!$A961,"(",""))=0,LEN('Special Help Table'!$A961)-LEN(SUBSTITUTE('Special Help Table'!$A961,"and",""))=3,LEN('Special Help Table'!$A961)-LEN(SUBSTITUTE('Special Help Table'!$A961,",",""))=1,LEN('Special Help Table'!$A961)-LEN(SUBSTITUTE('Special Help Table'!$A961," ",""))=3),'Special Help Table'!$A961)</f>
        <v>0</v>
      </c>
      <c r="C961" s="4" t="s">
        <v>1656</v>
      </c>
      <c r="D961" s="2"/>
      <c r="E961" s="2" t="s">
        <v>1491</v>
      </c>
      <c r="F961" s="2"/>
      <c r="G961" s="2"/>
      <c r="H961" s="2"/>
      <c r="I961" s="2"/>
      <c r="J961" s="2"/>
      <c r="K961" s="3">
        <v>44578</v>
      </c>
      <c r="L961" s="2"/>
      <c r="M961" s="2"/>
      <c r="N961" s="2" t="s">
        <v>1494</v>
      </c>
    </row>
    <row r="962" spans="1:14" ht="15.75" customHeight="1" x14ac:dyDescent="0.35">
      <c r="A962" s="2"/>
      <c r="B962" s="2" cm="1">
        <f t="array" ref="B962">_xlfn.IFS(AND(LEN('Special Help Table'!$A962)-(LEN(SUBSTITUTE('Special Help Table'!$A962,";","")))=0,LEN('Special Help Table'!$A962)-LEN(SUBSTITUTE('Special Help Table'!$A962,",",""))=1,LEN('Special Help Table'!$A962)-LEN(SUBSTITUTE('Special Help Table'!$A962,"and ",""))=0),MID('Special Help Table'!$A962&amp;" "&amp;'Special Help Table'!$A962,SEARCH(", ",'Special Help Table'!$A962)+1,LEN('Special Help Table'!$A962)),AND(LEN('Special Help Table'!$A962)-(LEN(SUBSTITUTE('Special Help Table'!$A962,";","")))=1,LEN('Special Help Table'!$A962)-LEN(SUBSTITUTE('Special Help Table'!$A962,"and ",""))=0),MID('Special Help Table'!$A962,SEARCH(",",'Special Help Table'!$A962)+1,(SEARCH(";",'Special Help Table'!$A962)-1)-SEARCH(",",'Special Help Table'!$A962))&amp;" "&amp;LEFT('Special Help Table'!$A962,SEARCH(",",'Special Help Table'!$A962)-1)&amp;";"&amp;RIGHT('Special Help Table'!$A962,LEN('Special Help Table'!$A962)-SEARCH(",",'Special Help Table'!$A962,SEARCH(";",'Special Help Table'!$A962)))&amp;" "&amp;MID('Special Help Table'!$A962,SEARCH("; ",'Special Help Table'!$A962)+2,SEARCH(",",'Special Help Table'!$A962,SEARCH(";",'Special Help Table'!$A962))-SEARCH(";",'Special Help Table'!$A962)-2),AND(LEN('Special Help Table'!$A962)-LEN(SUBSTITUTE('Special Help Table'!$A962,"and ",""))=0,LEN('Special Help Table'!$A962)-LEN(SUBSTITUTE('Special Help Table'!$A962,";",""))=0),'Special Help Table'!$A962,AND(LEN('Special Help Table'!$A962)-LEN(SUBSTITUTE('Special Help Table'!$A962,",","")=1),LEN('Special Help Table'!$A962)-LEN(SUBSTITUTE('Special Help Table'!$A962," ","")=20),LEN('Special Help Table'!$A962)-LEN(SUBSTITUTE('Special Help Table'!$A962," and",""))=0,LEN('Special Help Table'!$A962)-LEN(SUBSTITUTE('Special Help Table'!$A962,",","",FIND(" ",'Special Help Table'!$A962)+1))=0),RIGHT('Special Help Table'!$A962,LEN('Special Help Table'!$A962)-FIND(", ",'Special Help Table'!$A962))&amp;" "&amp;LEFT('Special Help Table'!$A962,FIND(",",'Special Help Table'!$A962)-1),AND(LEN('Special Help Table'!$A962)-LEN(SUBSTITUTE('Special Help Table'!$A962,"editor",""))=6,LEN('Special Help Table'!$A962)-LEN(SUBSTITUTE('Special Help Table'!$A962,"(",""))=0,LEN('Special Help Table'!$A962)-LEN(SUBSTITUTE('Special Help Table'!$A962,"and",""))=3,LEN('Special Help Table'!$A962)-LEN(SUBSTITUTE('Special Help Table'!$A962,",",""))=1,LEN('Special Help Table'!$A962)-LEN(SUBSTITUTE('Special Help Table'!$A962," ",""))=3),'Special Help Table'!$A962)</f>
        <v>0</v>
      </c>
      <c r="C962" s="4" t="s">
        <v>1657</v>
      </c>
      <c r="D962" s="2"/>
      <c r="E962" s="2" t="s">
        <v>1491</v>
      </c>
      <c r="F962" s="2"/>
      <c r="G962" s="2"/>
      <c r="H962" s="2"/>
      <c r="I962" s="2"/>
      <c r="J962" s="2"/>
      <c r="K962" s="3">
        <v>41712</v>
      </c>
      <c r="L962" s="2"/>
      <c r="M962" s="2" t="s">
        <v>802</v>
      </c>
      <c r="N962" s="2" t="s">
        <v>1494</v>
      </c>
    </row>
    <row r="963" spans="1:14" ht="15.75" customHeight="1" x14ac:dyDescent="0.35">
      <c r="A963" s="2"/>
      <c r="B963" s="2" cm="1">
        <f t="array" ref="B963">_xlfn.IFS(AND(LEN('Special Help Table'!$A963)-(LEN(SUBSTITUTE('Special Help Table'!$A963,";","")))=0,LEN('Special Help Table'!$A963)-LEN(SUBSTITUTE('Special Help Table'!$A963,",",""))=1,LEN('Special Help Table'!$A963)-LEN(SUBSTITUTE('Special Help Table'!$A963,"and ",""))=0),MID('Special Help Table'!$A963&amp;" "&amp;'Special Help Table'!$A963,SEARCH(", ",'Special Help Table'!$A963)+1,LEN('Special Help Table'!$A963)),AND(LEN('Special Help Table'!$A963)-(LEN(SUBSTITUTE('Special Help Table'!$A963,";","")))=1,LEN('Special Help Table'!$A963)-LEN(SUBSTITUTE('Special Help Table'!$A963,"and ",""))=0),MID('Special Help Table'!$A963,SEARCH(",",'Special Help Table'!$A963)+1,(SEARCH(";",'Special Help Table'!$A963)-1)-SEARCH(",",'Special Help Table'!$A963))&amp;" "&amp;LEFT('Special Help Table'!$A963,SEARCH(",",'Special Help Table'!$A963)-1)&amp;";"&amp;RIGHT('Special Help Table'!$A963,LEN('Special Help Table'!$A963)-SEARCH(",",'Special Help Table'!$A963,SEARCH(";",'Special Help Table'!$A963)))&amp;" "&amp;MID('Special Help Table'!$A963,SEARCH("; ",'Special Help Table'!$A963)+2,SEARCH(",",'Special Help Table'!$A963,SEARCH(";",'Special Help Table'!$A963))-SEARCH(";",'Special Help Table'!$A963)-2),AND(LEN('Special Help Table'!$A963)-LEN(SUBSTITUTE('Special Help Table'!$A963,"and ",""))=0,LEN('Special Help Table'!$A963)-LEN(SUBSTITUTE('Special Help Table'!$A963,";",""))=0),'Special Help Table'!$A963,AND(LEN('Special Help Table'!$A963)-LEN(SUBSTITUTE('Special Help Table'!$A963,",","")=1),LEN('Special Help Table'!$A963)-LEN(SUBSTITUTE('Special Help Table'!$A963," ","")=20),LEN('Special Help Table'!$A963)-LEN(SUBSTITUTE('Special Help Table'!$A963," and",""))=0,LEN('Special Help Table'!$A963)-LEN(SUBSTITUTE('Special Help Table'!$A963,",","",FIND(" ",'Special Help Table'!$A963)+1))=0),RIGHT('Special Help Table'!$A963,LEN('Special Help Table'!$A963)-FIND(", ",'Special Help Table'!$A963))&amp;" "&amp;LEFT('Special Help Table'!$A963,FIND(",",'Special Help Table'!$A963)-1),AND(LEN('Special Help Table'!$A963)-LEN(SUBSTITUTE('Special Help Table'!$A963,"editor",""))=6,LEN('Special Help Table'!$A963)-LEN(SUBSTITUTE('Special Help Table'!$A963,"(",""))=0,LEN('Special Help Table'!$A963)-LEN(SUBSTITUTE('Special Help Table'!$A963,"and",""))=3,LEN('Special Help Table'!$A963)-LEN(SUBSTITUTE('Special Help Table'!$A963,",",""))=1,LEN('Special Help Table'!$A963)-LEN(SUBSTITUTE('Special Help Table'!$A963," ",""))=3),'Special Help Table'!$A963)</f>
        <v>0</v>
      </c>
      <c r="C963" s="4" t="s">
        <v>1100</v>
      </c>
      <c r="D963" s="2"/>
      <c r="E963" s="2" t="s">
        <v>1491</v>
      </c>
      <c r="F963" s="2"/>
      <c r="G963" s="2"/>
      <c r="H963" s="2"/>
      <c r="I963" s="2"/>
      <c r="J963" s="2"/>
      <c r="K963" s="3"/>
      <c r="L963" s="2" t="s">
        <v>1658</v>
      </c>
      <c r="M963" s="2"/>
      <c r="N963" s="2" t="s">
        <v>1494</v>
      </c>
    </row>
    <row r="964" spans="1:14" ht="15.75" customHeight="1" x14ac:dyDescent="0.35">
      <c r="A964" s="2"/>
      <c r="B964" s="2" cm="1">
        <f t="array" ref="B964">_xlfn.IFS(AND(LEN('Special Help Table'!$A964)-(LEN(SUBSTITUTE('Special Help Table'!$A964,";","")))=0,LEN('Special Help Table'!$A964)-LEN(SUBSTITUTE('Special Help Table'!$A964,",",""))=1,LEN('Special Help Table'!$A964)-LEN(SUBSTITUTE('Special Help Table'!$A964,"and ",""))=0),MID('Special Help Table'!$A964&amp;" "&amp;'Special Help Table'!$A964,SEARCH(", ",'Special Help Table'!$A964)+1,LEN('Special Help Table'!$A964)),AND(LEN('Special Help Table'!$A964)-(LEN(SUBSTITUTE('Special Help Table'!$A964,";","")))=1,LEN('Special Help Table'!$A964)-LEN(SUBSTITUTE('Special Help Table'!$A964,"and ",""))=0),MID('Special Help Table'!$A964,SEARCH(",",'Special Help Table'!$A964)+1,(SEARCH(";",'Special Help Table'!$A964)-1)-SEARCH(",",'Special Help Table'!$A964))&amp;" "&amp;LEFT('Special Help Table'!$A964,SEARCH(",",'Special Help Table'!$A964)-1)&amp;";"&amp;RIGHT('Special Help Table'!$A964,LEN('Special Help Table'!$A964)-SEARCH(",",'Special Help Table'!$A964,SEARCH(";",'Special Help Table'!$A964)))&amp;" "&amp;MID('Special Help Table'!$A964,SEARCH("; ",'Special Help Table'!$A964)+2,SEARCH(",",'Special Help Table'!$A964,SEARCH(";",'Special Help Table'!$A964))-SEARCH(";",'Special Help Table'!$A964)-2),AND(LEN('Special Help Table'!$A964)-LEN(SUBSTITUTE('Special Help Table'!$A964,"and ",""))=0,LEN('Special Help Table'!$A964)-LEN(SUBSTITUTE('Special Help Table'!$A964,";",""))=0),'Special Help Table'!$A964,AND(LEN('Special Help Table'!$A964)-LEN(SUBSTITUTE('Special Help Table'!$A964,",","")=1),LEN('Special Help Table'!$A964)-LEN(SUBSTITUTE('Special Help Table'!$A964," ","")=20),LEN('Special Help Table'!$A964)-LEN(SUBSTITUTE('Special Help Table'!$A964," and",""))=0,LEN('Special Help Table'!$A964)-LEN(SUBSTITUTE('Special Help Table'!$A964,",","",FIND(" ",'Special Help Table'!$A964)+1))=0),RIGHT('Special Help Table'!$A964,LEN('Special Help Table'!$A964)-FIND(", ",'Special Help Table'!$A964))&amp;" "&amp;LEFT('Special Help Table'!$A964,FIND(",",'Special Help Table'!$A964)-1),AND(LEN('Special Help Table'!$A964)-LEN(SUBSTITUTE('Special Help Table'!$A964,"editor",""))=6,LEN('Special Help Table'!$A964)-LEN(SUBSTITUTE('Special Help Table'!$A964,"(",""))=0,LEN('Special Help Table'!$A964)-LEN(SUBSTITUTE('Special Help Table'!$A964,"and",""))=3,LEN('Special Help Table'!$A964)-LEN(SUBSTITUTE('Special Help Table'!$A964,",",""))=1,LEN('Special Help Table'!$A964)-LEN(SUBSTITUTE('Special Help Table'!$A964," ",""))=3),'Special Help Table'!$A964)</f>
        <v>0</v>
      </c>
      <c r="C964" s="4" t="s">
        <v>1659</v>
      </c>
      <c r="D964" s="2"/>
      <c r="E964" s="2" t="s">
        <v>1491</v>
      </c>
      <c r="F964" s="2"/>
      <c r="G964" s="2"/>
      <c r="H964" s="2"/>
      <c r="I964" s="2"/>
      <c r="J964" s="2"/>
      <c r="K964" s="3">
        <v>40037</v>
      </c>
      <c r="L964" s="2"/>
      <c r="M964" s="2"/>
      <c r="N964" s="2" t="s">
        <v>1494</v>
      </c>
    </row>
    <row r="965" spans="1:14" ht="15.75" customHeight="1" x14ac:dyDescent="0.35">
      <c r="A965" s="2"/>
      <c r="B965" s="2" cm="1">
        <f t="array" ref="B965">_xlfn.IFS(AND(LEN('Special Help Table'!$A965)-(LEN(SUBSTITUTE('Special Help Table'!$A965,";","")))=0,LEN('Special Help Table'!$A965)-LEN(SUBSTITUTE('Special Help Table'!$A965,",",""))=1,LEN('Special Help Table'!$A965)-LEN(SUBSTITUTE('Special Help Table'!$A965,"and ",""))=0),MID('Special Help Table'!$A965&amp;" "&amp;'Special Help Table'!$A965,SEARCH(", ",'Special Help Table'!$A965)+1,LEN('Special Help Table'!$A965)),AND(LEN('Special Help Table'!$A965)-(LEN(SUBSTITUTE('Special Help Table'!$A965,";","")))=1,LEN('Special Help Table'!$A965)-LEN(SUBSTITUTE('Special Help Table'!$A965,"and ",""))=0),MID('Special Help Table'!$A965,SEARCH(",",'Special Help Table'!$A965)+1,(SEARCH(";",'Special Help Table'!$A965)-1)-SEARCH(",",'Special Help Table'!$A965))&amp;" "&amp;LEFT('Special Help Table'!$A965,SEARCH(",",'Special Help Table'!$A965)-1)&amp;";"&amp;RIGHT('Special Help Table'!$A965,LEN('Special Help Table'!$A965)-SEARCH(",",'Special Help Table'!$A965,SEARCH(";",'Special Help Table'!$A965)))&amp;" "&amp;MID('Special Help Table'!$A965,SEARCH("; ",'Special Help Table'!$A965)+2,SEARCH(",",'Special Help Table'!$A965,SEARCH(";",'Special Help Table'!$A965))-SEARCH(";",'Special Help Table'!$A965)-2),AND(LEN('Special Help Table'!$A965)-LEN(SUBSTITUTE('Special Help Table'!$A965,"and ",""))=0,LEN('Special Help Table'!$A965)-LEN(SUBSTITUTE('Special Help Table'!$A965,";",""))=0),'Special Help Table'!$A965,AND(LEN('Special Help Table'!$A965)-LEN(SUBSTITUTE('Special Help Table'!$A965,",","")=1),LEN('Special Help Table'!$A965)-LEN(SUBSTITUTE('Special Help Table'!$A965," ","")=20),LEN('Special Help Table'!$A965)-LEN(SUBSTITUTE('Special Help Table'!$A965," and",""))=0,LEN('Special Help Table'!$A965)-LEN(SUBSTITUTE('Special Help Table'!$A965,",","",FIND(" ",'Special Help Table'!$A965)+1))=0),RIGHT('Special Help Table'!$A965,LEN('Special Help Table'!$A965)-FIND(", ",'Special Help Table'!$A965))&amp;" "&amp;LEFT('Special Help Table'!$A965,FIND(",",'Special Help Table'!$A965)-1),AND(LEN('Special Help Table'!$A965)-LEN(SUBSTITUTE('Special Help Table'!$A965,"editor",""))=6,LEN('Special Help Table'!$A965)-LEN(SUBSTITUTE('Special Help Table'!$A965,"(",""))=0,LEN('Special Help Table'!$A965)-LEN(SUBSTITUTE('Special Help Table'!$A965,"and",""))=3,LEN('Special Help Table'!$A965)-LEN(SUBSTITUTE('Special Help Table'!$A965,",",""))=1,LEN('Special Help Table'!$A965)-LEN(SUBSTITUTE('Special Help Table'!$A965," ",""))=3),'Special Help Table'!$A965)</f>
        <v>0</v>
      </c>
      <c r="C965" s="4" t="s">
        <v>1660</v>
      </c>
      <c r="D965" s="2"/>
      <c r="E965" s="2" t="s">
        <v>1491</v>
      </c>
      <c r="F965" s="2"/>
      <c r="G965" s="2"/>
      <c r="H965" s="2"/>
      <c r="I965" s="2"/>
      <c r="J965" s="2"/>
      <c r="K965" s="3">
        <v>44578</v>
      </c>
      <c r="L965" s="2"/>
      <c r="M965" s="2" t="s">
        <v>1661</v>
      </c>
      <c r="N965" s="2" t="s">
        <v>1494</v>
      </c>
    </row>
    <row r="966" spans="1:14" ht="15.75" customHeight="1" x14ac:dyDescent="0.35">
      <c r="A966" s="2"/>
      <c r="B966" s="2" cm="1">
        <f t="array" ref="B966">_xlfn.IFS(AND(LEN('Special Help Table'!$A966)-(LEN(SUBSTITUTE('Special Help Table'!$A966,";","")))=0,LEN('Special Help Table'!$A966)-LEN(SUBSTITUTE('Special Help Table'!$A966,",",""))=1,LEN('Special Help Table'!$A966)-LEN(SUBSTITUTE('Special Help Table'!$A966,"and ",""))=0),MID('Special Help Table'!$A966&amp;" "&amp;'Special Help Table'!$A966,SEARCH(", ",'Special Help Table'!$A966)+1,LEN('Special Help Table'!$A966)),AND(LEN('Special Help Table'!$A966)-(LEN(SUBSTITUTE('Special Help Table'!$A966,";","")))=1,LEN('Special Help Table'!$A966)-LEN(SUBSTITUTE('Special Help Table'!$A966,"and ",""))=0),MID('Special Help Table'!$A966,SEARCH(",",'Special Help Table'!$A966)+1,(SEARCH(";",'Special Help Table'!$A966)-1)-SEARCH(",",'Special Help Table'!$A966))&amp;" "&amp;LEFT('Special Help Table'!$A966,SEARCH(",",'Special Help Table'!$A966)-1)&amp;";"&amp;RIGHT('Special Help Table'!$A966,LEN('Special Help Table'!$A966)-SEARCH(",",'Special Help Table'!$A966,SEARCH(";",'Special Help Table'!$A966)))&amp;" "&amp;MID('Special Help Table'!$A966,SEARCH("; ",'Special Help Table'!$A966)+2,SEARCH(",",'Special Help Table'!$A966,SEARCH(";",'Special Help Table'!$A966))-SEARCH(";",'Special Help Table'!$A966)-2),AND(LEN('Special Help Table'!$A966)-LEN(SUBSTITUTE('Special Help Table'!$A966,"and ",""))=0,LEN('Special Help Table'!$A966)-LEN(SUBSTITUTE('Special Help Table'!$A966,";",""))=0),'Special Help Table'!$A966,AND(LEN('Special Help Table'!$A966)-LEN(SUBSTITUTE('Special Help Table'!$A966,",","")=1),LEN('Special Help Table'!$A966)-LEN(SUBSTITUTE('Special Help Table'!$A966," ","")=20),LEN('Special Help Table'!$A966)-LEN(SUBSTITUTE('Special Help Table'!$A966," and",""))=0,LEN('Special Help Table'!$A966)-LEN(SUBSTITUTE('Special Help Table'!$A966,",","",FIND(" ",'Special Help Table'!$A966)+1))=0),RIGHT('Special Help Table'!$A966,LEN('Special Help Table'!$A966)-FIND(", ",'Special Help Table'!$A966))&amp;" "&amp;LEFT('Special Help Table'!$A966,FIND(",",'Special Help Table'!$A966)-1),AND(LEN('Special Help Table'!$A966)-LEN(SUBSTITUTE('Special Help Table'!$A966,"editor",""))=6,LEN('Special Help Table'!$A966)-LEN(SUBSTITUTE('Special Help Table'!$A966,"(",""))=0,LEN('Special Help Table'!$A966)-LEN(SUBSTITUTE('Special Help Table'!$A966,"and",""))=3,LEN('Special Help Table'!$A966)-LEN(SUBSTITUTE('Special Help Table'!$A966,",",""))=1,LEN('Special Help Table'!$A966)-LEN(SUBSTITUTE('Special Help Table'!$A966," ",""))=3),'Special Help Table'!$A966)</f>
        <v>0</v>
      </c>
      <c r="C966" s="4" t="s">
        <v>1662</v>
      </c>
      <c r="D966" s="2"/>
      <c r="E966" s="2" t="s">
        <v>1491</v>
      </c>
      <c r="F966" s="2"/>
      <c r="G966" s="2"/>
      <c r="H966" s="2"/>
      <c r="I966" s="2"/>
      <c r="J966" s="2"/>
      <c r="K966" s="3">
        <v>42019</v>
      </c>
      <c r="L966" s="2"/>
      <c r="M966" s="2"/>
      <c r="N966" s="2" t="s">
        <v>1494</v>
      </c>
    </row>
    <row r="967" spans="1:14" ht="15.75" customHeight="1" x14ac:dyDescent="0.35">
      <c r="A967" s="2"/>
      <c r="B967" s="2" cm="1">
        <f t="array" ref="B967">_xlfn.IFS(AND(LEN('Special Help Table'!$A967)-(LEN(SUBSTITUTE('Special Help Table'!$A967,";","")))=0,LEN('Special Help Table'!$A967)-LEN(SUBSTITUTE('Special Help Table'!$A967,",",""))=1,LEN('Special Help Table'!$A967)-LEN(SUBSTITUTE('Special Help Table'!$A967,"and ",""))=0),MID('Special Help Table'!$A967&amp;" "&amp;'Special Help Table'!$A967,SEARCH(", ",'Special Help Table'!$A967)+1,LEN('Special Help Table'!$A967)),AND(LEN('Special Help Table'!$A967)-(LEN(SUBSTITUTE('Special Help Table'!$A967,";","")))=1,LEN('Special Help Table'!$A967)-LEN(SUBSTITUTE('Special Help Table'!$A967,"and ",""))=0),MID('Special Help Table'!$A967,SEARCH(",",'Special Help Table'!$A967)+1,(SEARCH(";",'Special Help Table'!$A967)-1)-SEARCH(",",'Special Help Table'!$A967))&amp;" "&amp;LEFT('Special Help Table'!$A967,SEARCH(",",'Special Help Table'!$A967)-1)&amp;";"&amp;RIGHT('Special Help Table'!$A967,LEN('Special Help Table'!$A967)-SEARCH(",",'Special Help Table'!$A967,SEARCH(";",'Special Help Table'!$A967)))&amp;" "&amp;MID('Special Help Table'!$A967,SEARCH("; ",'Special Help Table'!$A967)+2,SEARCH(",",'Special Help Table'!$A967,SEARCH(";",'Special Help Table'!$A967))-SEARCH(";",'Special Help Table'!$A967)-2),AND(LEN('Special Help Table'!$A967)-LEN(SUBSTITUTE('Special Help Table'!$A967,"and ",""))=0,LEN('Special Help Table'!$A967)-LEN(SUBSTITUTE('Special Help Table'!$A967,";",""))=0),'Special Help Table'!$A967,AND(LEN('Special Help Table'!$A967)-LEN(SUBSTITUTE('Special Help Table'!$A967,",","")=1),LEN('Special Help Table'!$A967)-LEN(SUBSTITUTE('Special Help Table'!$A967," ","")=20),LEN('Special Help Table'!$A967)-LEN(SUBSTITUTE('Special Help Table'!$A967," and",""))=0,LEN('Special Help Table'!$A967)-LEN(SUBSTITUTE('Special Help Table'!$A967,",","",FIND(" ",'Special Help Table'!$A967)+1))=0),RIGHT('Special Help Table'!$A967,LEN('Special Help Table'!$A967)-FIND(", ",'Special Help Table'!$A967))&amp;" "&amp;LEFT('Special Help Table'!$A967,FIND(",",'Special Help Table'!$A967)-1),AND(LEN('Special Help Table'!$A967)-LEN(SUBSTITUTE('Special Help Table'!$A967,"editor",""))=6,LEN('Special Help Table'!$A967)-LEN(SUBSTITUTE('Special Help Table'!$A967,"(",""))=0,LEN('Special Help Table'!$A967)-LEN(SUBSTITUTE('Special Help Table'!$A967,"and",""))=3,LEN('Special Help Table'!$A967)-LEN(SUBSTITUTE('Special Help Table'!$A967,",",""))=1,LEN('Special Help Table'!$A967)-LEN(SUBSTITUTE('Special Help Table'!$A967," ",""))=3),'Special Help Table'!$A967)</f>
        <v>0</v>
      </c>
      <c r="C967" s="4" t="s">
        <v>1663</v>
      </c>
      <c r="D967" s="2"/>
      <c r="E967" s="2" t="s">
        <v>1491</v>
      </c>
      <c r="F967" s="2"/>
      <c r="G967" s="2"/>
      <c r="H967" s="2"/>
      <c r="I967" s="2"/>
      <c r="J967" s="2"/>
      <c r="K967" s="3">
        <v>42019</v>
      </c>
      <c r="L967" s="2"/>
      <c r="M967" s="2"/>
      <c r="N967" s="2" t="s">
        <v>1494</v>
      </c>
    </row>
    <row r="968" spans="1:14" ht="15.75" customHeight="1" x14ac:dyDescent="0.35">
      <c r="A968" s="2"/>
      <c r="B968" s="2" cm="1">
        <f t="array" ref="B968">_xlfn.IFS(AND(LEN('Special Help Table'!$A968)-(LEN(SUBSTITUTE('Special Help Table'!$A968,";","")))=0,LEN('Special Help Table'!$A968)-LEN(SUBSTITUTE('Special Help Table'!$A968,",",""))=1,LEN('Special Help Table'!$A968)-LEN(SUBSTITUTE('Special Help Table'!$A968,"and ",""))=0),MID('Special Help Table'!$A968&amp;" "&amp;'Special Help Table'!$A968,SEARCH(", ",'Special Help Table'!$A968)+1,LEN('Special Help Table'!$A968)),AND(LEN('Special Help Table'!$A968)-(LEN(SUBSTITUTE('Special Help Table'!$A968,";","")))=1,LEN('Special Help Table'!$A968)-LEN(SUBSTITUTE('Special Help Table'!$A968,"and ",""))=0),MID('Special Help Table'!$A968,SEARCH(",",'Special Help Table'!$A968)+1,(SEARCH(";",'Special Help Table'!$A968)-1)-SEARCH(",",'Special Help Table'!$A968))&amp;" "&amp;LEFT('Special Help Table'!$A968,SEARCH(",",'Special Help Table'!$A968)-1)&amp;";"&amp;RIGHT('Special Help Table'!$A968,LEN('Special Help Table'!$A968)-SEARCH(",",'Special Help Table'!$A968,SEARCH(";",'Special Help Table'!$A968)))&amp;" "&amp;MID('Special Help Table'!$A968,SEARCH("; ",'Special Help Table'!$A968)+2,SEARCH(",",'Special Help Table'!$A968,SEARCH(";",'Special Help Table'!$A968))-SEARCH(";",'Special Help Table'!$A968)-2),AND(LEN('Special Help Table'!$A968)-LEN(SUBSTITUTE('Special Help Table'!$A968,"and ",""))=0,LEN('Special Help Table'!$A968)-LEN(SUBSTITUTE('Special Help Table'!$A968,";",""))=0),'Special Help Table'!$A968,AND(LEN('Special Help Table'!$A968)-LEN(SUBSTITUTE('Special Help Table'!$A968,",","")=1),LEN('Special Help Table'!$A968)-LEN(SUBSTITUTE('Special Help Table'!$A968," ","")=20),LEN('Special Help Table'!$A968)-LEN(SUBSTITUTE('Special Help Table'!$A968," and",""))=0,LEN('Special Help Table'!$A968)-LEN(SUBSTITUTE('Special Help Table'!$A968,",","",FIND(" ",'Special Help Table'!$A968)+1))=0),RIGHT('Special Help Table'!$A968,LEN('Special Help Table'!$A968)-FIND(", ",'Special Help Table'!$A968))&amp;" "&amp;LEFT('Special Help Table'!$A968,FIND(",",'Special Help Table'!$A968)-1),AND(LEN('Special Help Table'!$A968)-LEN(SUBSTITUTE('Special Help Table'!$A968,"editor",""))=6,LEN('Special Help Table'!$A968)-LEN(SUBSTITUTE('Special Help Table'!$A968,"(",""))=0,LEN('Special Help Table'!$A968)-LEN(SUBSTITUTE('Special Help Table'!$A968,"and",""))=3,LEN('Special Help Table'!$A968)-LEN(SUBSTITUTE('Special Help Table'!$A968,",",""))=1,LEN('Special Help Table'!$A968)-LEN(SUBSTITUTE('Special Help Table'!$A968," ",""))=3),'Special Help Table'!$A968)</f>
        <v>0</v>
      </c>
      <c r="C968" s="4" t="s">
        <v>1664</v>
      </c>
      <c r="D968" s="2"/>
      <c r="E968" s="2" t="s">
        <v>1491</v>
      </c>
      <c r="F968" s="2"/>
      <c r="G968" s="2"/>
      <c r="H968" s="2"/>
      <c r="I968" s="2"/>
      <c r="J968" s="2"/>
      <c r="K968" s="3">
        <v>40038</v>
      </c>
      <c r="L968" s="2"/>
      <c r="M968" s="2"/>
      <c r="N968" s="2" t="s">
        <v>1494</v>
      </c>
    </row>
    <row r="969" spans="1:14" ht="15.75" customHeight="1" x14ac:dyDescent="0.35">
      <c r="A969" s="2"/>
      <c r="B969" s="2" cm="1">
        <f t="array" ref="B969">_xlfn.IFS(AND(LEN('Special Help Table'!$A969)-(LEN(SUBSTITUTE('Special Help Table'!$A969,";","")))=0,LEN('Special Help Table'!$A969)-LEN(SUBSTITUTE('Special Help Table'!$A969,",",""))=1,LEN('Special Help Table'!$A969)-LEN(SUBSTITUTE('Special Help Table'!$A969,"and ",""))=0),MID('Special Help Table'!$A969&amp;" "&amp;'Special Help Table'!$A969,SEARCH(", ",'Special Help Table'!$A969)+1,LEN('Special Help Table'!$A969)),AND(LEN('Special Help Table'!$A969)-(LEN(SUBSTITUTE('Special Help Table'!$A969,";","")))=1,LEN('Special Help Table'!$A969)-LEN(SUBSTITUTE('Special Help Table'!$A969,"and ",""))=0),MID('Special Help Table'!$A969,SEARCH(",",'Special Help Table'!$A969)+1,(SEARCH(";",'Special Help Table'!$A969)-1)-SEARCH(",",'Special Help Table'!$A969))&amp;" "&amp;LEFT('Special Help Table'!$A969,SEARCH(",",'Special Help Table'!$A969)-1)&amp;";"&amp;RIGHT('Special Help Table'!$A969,LEN('Special Help Table'!$A969)-SEARCH(",",'Special Help Table'!$A969,SEARCH(";",'Special Help Table'!$A969)))&amp;" "&amp;MID('Special Help Table'!$A969,SEARCH("; ",'Special Help Table'!$A969)+2,SEARCH(",",'Special Help Table'!$A969,SEARCH(";",'Special Help Table'!$A969))-SEARCH(";",'Special Help Table'!$A969)-2),AND(LEN('Special Help Table'!$A969)-LEN(SUBSTITUTE('Special Help Table'!$A969,"and ",""))=0,LEN('Special Help Table'!$A969)-LEN(SUBSTITUTE('Special Help Table'!$A969,";",""))=0),'Special Help Table'!$A969,AND(LEN('Special Help Table'!$A969)-LEN(SUBSTITUTE('Special Help Table'!$A969,",","")=1),LEN('Special Help Table'!$A969)-LEN(SUBSTITUTE('Special Help Table'!$A969," ","")=20),LEN('Special Help Table'!$A969)-LEN(SUBSTITUTE('Special Help Table'!$A969," and",""))=0,LEN('Special Help Table'!$A969)-LEN(SUBSTITUTE('Special Help Table'!$A969,",","",FIND(" ",'Special Help Table'!$A969)+1))=0),RIGHT('Special Help Table'!$A969,LEN('Special Help Table'!$A969)-FIND(", ",'Special Help Table'!$A969))&amp;" "&amp;LEFT('Special Help Table'!$A969,FIND(",",'Special Help Table'!$A969)-1),AND(LEN('Special Help Table'!$A969)-LEN(SUBSTITUTE('Special Help Table'!$A969,"editor",""))=6,LEN('Special Help Table'!$A969)-LEN(SUBSTITUTE('Special Help Table'!$A969,"(",""))=0,LEN('Special Help Table'!$A969)-LEN(SUBSTITUTE('Special Help Table'!$A969,"and",""))=3,LEN('Special Help Table'!$A969)-LEN(SUBSTITUTE('Special Help Table'!$A969,",",""))=1,LEN('Special Help Table'!$A969)-LEN(SUBSTITUTE('Special Help Table'!$A969," ",""))=3),'Special Help Table'!$A969)</f>
        <v>0</v>
      </c>
      <c r="C969" s="4" t="s">
        <v>1665</v>
      </c>
      <c r="D969" s="2"/>
      <c r="E969" s="2" t="s">
        <v>1491</v>
      </c>
      <c r="F969" s="2"/>
      <c r="G969" s="2"/>
      <c r="H969" s="2"/>
      <c r="I969" s="2"/>
      <c r="J969" s="2"/>
      <c r="K969" s="3">
        <v>44578</v>
      </c>
      <c r="L969" s="2"/>
      <c r="M969" s="2"/>
      <c r="N969" s="2" t="s">
        <v>1494</v>
      </c>
    </row>
    <row r="970" spans="1:14" ht="15.75" customHeight="1" x14ac:dyDescent="0.35">
      <c r="A970" s="2"/>
      <c r="B970" s="2" cm="1">
        <f t="array" ref="B970">_xlfn.IFS(AND(LEN('Special Help Table'!$A970)-(LEN(SUBSTITUTE('Special Help Table'!$A970,";","")))=0,LEN('Special Help Table'!$A970)-LEN(SUBSTITUTE('Special Help Table'!$A970,",",""))=1,LEN('Special Help Table'!$A970)-LEN(SUBSTITUTE('Special Help Table'!$A970,"and ",""))=0),MID('Special Help Table'!$A970&amp;" "&amp;'Special Help Table'!$A970,SEARCH(", ",'Special Help Table'!$A970)+1,LEN('Special Help Table'!$A970)),AND(LEN('Special Help Table'!$A970)-(LEN(SUBSTITUTE('Special Help Table'!$A970,";","")))=1,LEN('Special Help Table'!$A970)-LEN(SUBSTITUTE('Special Help Table'!$A970,"and ",""))=0),MID('Special Help Table'!$A970,SEARCH(",",'Special Help Table'!$A970)+1,(SEARCH(";",'Special Help Table'!$A970)-1)-SEARCH(",",'Special Help Table'!$A970))&amp;" "&amp;LEFT('Special Help Table'!$A970,SEARCH(",",'Special Help Table'!$A970)-1)&amp;";"&amp;RIGHT('Special Help Table'!$A970,LEN('Special Help Table'!$A970)-SEARCH(",",'Special Help Table'!$A970,SEARCH(";",'Special Help Table'!$A970)))&amp;" "&amp;MID('Special Help Table'!$A970,SEARCH("; ",'Special Help Table'!$A970)+2,SEARCH(",",'Special Help Table'!$A970,SEARCH(";",'Special Help Table'!$A970))-SEARCH(";",'Special Help Table'!$A970)-2),AND(LEN('Special Help Table'!$A970)-LEN(SUBSTITUTE('Special Help Table'!$A970,"and ",""))=0,LEN('Special Help Table'!$A970)-LEN(SUBSTITUTE('Special Help Table'!$A970,";",""))=0),'Special Help Table'!$A970,AND(LEN('Special Help Table'!$A970)-LEN(SUBSTITUTE('Special Help Table'!$A970,",","")=1),LEN('Special Help Table'!$A970)-LEN(SUBSTITUTE('Special Help Table'!$A970," ","")=20),LEN('Special Help Table'!$A970)-LEN(SUBSTITUTE('Special Help Table'!$A970," and",""))=0,LEN('Special Help Table'!$A970)-LEN(SUBSTITUTE('Special Help Table'!$A970,",","",FIND(" ",'Special Help Table'!$A970)+1))=0),RIGHT('Special Help Table'!$A970,LEN('Special Help Table'!$A970)-FIND(", ",'Special Help Table'!$A970))&amp;" "&amp;LEFT('Special Help Table'!$A970,FIND(",",'Special Help Table'!$A970)-1),AND(LEN('Special Help Table'!$A970)-LEN(SUBSTITUTE('Special Help Table'!$A970,"editor",""))=6,LEN('Special Help Table'!$A970)-LEN(SUBSTITUTE('Special Help Table'!$A970,"(",""))=0,LEN('Special Help Table'!$A970)-LEN(SUBSTITUTE('Special Help Table'!$A970,"and",""))=3,LEN('Special Help Table'!$A970)-LEN(SUBSTITUTE('Special Help Table'!$A970,",",""))=1,LEN('Special Help Table'!$A970)-LEN(SUBSTITUTE('Special Help Table'!$A970," ",""))=3),'Special Help Table'!$A970)</f>
        <v>0</v>
      </c>
      <c r="C970" s="4" t="s">
        <v>1666</v>
      </c>
      <c r="D970" s="2"/>
      <c r="E970" s="2" t="s">
        <v>1491</v>
      </c>
      <c r="F970" s="2"/>
      <c r="G970" s="2"/>
      <c r="H970" s="2"/>
      <c r="I970" s="2"/>
      <c r="J970" s="2"/>
      <c r="K970" s="3">
        <v>44578</v>
      </c>
      <c r="L970" s="2"/>
      <c r="M970" s="2" t="s">
        <v>1661</v>
      </c>
      <c r="N970" s="2" t="s">
        <v>1494</v>
      </c>
    </row>
    <row r="971" spans="1:14" ht="15.75" customHeight="1" x14ac:dyDescent="0.35">
      <c r="A971" s="2"/>
      <c r="B971" s="2" cm="1">
        <f t="array" ref="B971">_xlfn.IFS(AND(LEN('Special Help Table'!$A971)-(LEN(SUBSTITUTE('Special Help Table'!$A971,";","")))=0,LEN('Special Help Table'!$A971)-LEN(SUBSTITUTE('Special Help Table'!$A971,",",""))=1,LEN('Special Help Table'!$A971)-LEN(SUBSTITUTE('Special Help Table'!$A971,"and ",""))=0),MID('Special Help Table'!$A971&amp;" "&amp;'Special Help Table'!$A971,SEARCH(", ",'Special Help Table'!$A971)+1,LEN('Special Help Table'!$A971)),AND(LEN('Special Help Table'!$A971)-(LEN(SUBSTITUTE('Special Help Table'!$A971,";","")))=1,LEN('Special Help Table'!$A971)-LEN(SUBSTITUTE('Special Help Table'!$A971,"and ",""))=0),MID('Special Help Table'!$A971,SEARCH(",",'Special Help Table'!$A971)+1,(SEARCH(";",'Special Help Table'!$A971)-1)-SEARCH(",",'Special Help Table'!$A971))&amp;" "&amp;LEFT('Special Help Table'!$A971,SEARCH(",",'Special Help Table'!$A971)-1)&amp;";"&amp;RIGHT('Special Help Table'!$A971,LEN('Special Help Table'!$A971)-SEARCH(",",'Special Help Table'!$A971,SEARCH(";",'Special Help Table'!$A971)))&amp;" "&amp;MID('Special Help Table'!$A971,SEARCH("; ",'Special Help Table'!$A971)+2,SEARCH(",",'Special Help Table'!$A971,SEARCH(";",'Special Help Table'!$A971))-SEARCH(";",'Special Help Table'!$A971)-2),AND(LEN('Special Help Table'!$A971)-LEN(SUBSTITUTE('Special Help Table'!$A971,"and ",""))=0,LEN('Special Help Table'!$A971)-LEN(SUBSTITUTE('Special Help Table'!$A971,";",""))=0),'Special Help Table'!$A971,AND(LEN('Special Help Table'!$A971)-LEN(SUBSTITUTE('Special Help Table'!$A971,",","")=1),LEN('Special Help Table'!$A971)-LEN(SUBSTITUTE('Special Help Table'!$A971," ","")=20),LEN('Special Help Table'!$A971)-LEN(SUBSTITUTE('Special Help Table'!$A971," and",""))=0,LEN('Special Help Table'!$A971)-LEN(SUBSTITUTE('Special Help Table'!$A971,",","",FIND(" ",'Special Help Table'!$A971)+1))=0),RIGHT('Special Help Table'!$A971,LEN('Special Help Table'!$A971)-FIND(", ",'Special Help Table'!$A971))&amp;" "&amp;LEFT('Special Help Table'!$A971,FIND(",",'Special Help Table'!$A971)-1),AND(LEN('Special Help Table'!$A971)-LEN(SUBSTITUTE('Special Help Table'!$A971,"editor",""))=6,LEN('Special Help Table'!$A971)-LEN(SUBSTITUTE('Special Help Table'!$A971,"(",""))=0,LEN('Special Help Table'!$A971)-LEN(SUBSTITUTE('Special Help Table'!$A971,"and",""))=3,LEN('Special Help Table'!$A971)-LEN(SUBSTITUTE('Special Help Table'!$A971,",",""))=1,LEN('Special Help Table'!$A971)-LEN(SUBSTITUTE('Special Help Table'!$A971," ",""))=3),'Special Help Table'!$A971)</f>
        <v>0</v>
      </c>
      <c r="C971" s="4" t="s">
        <v>1667</v>
      </c>
      <c r="D971" s="2"/>
      <c r="E971" s="2" t="s">
        <v>1491</v>
      </c>
      <c r="F971" s="2"/>
      <c r="G971" s="2"/>
      <c r="H971" s="2"/>
      <c r="I971" s="2"/>
      <c r="J971" s="2"/>
      <c r="K971" s="3">
        <v>41653</v>
      </c>
      <c r="L971" s="2"/>
      <c r="M971" s="2"/>
      <c r="N971" s="2" t="s">
        <v>1494</v>
      </c>
    </row>
    <row r="972" spans="1:14" ht="15.75" customHeight="1" x14ac:dyDescent="0.35">
      <c r="A972" s="2"/>
      <c r="B972" s="2" cm="1">
        <f t="array" ref="B972">_xlfn.IFS(AND(LEN('Special Help Table'!$A972)-(LEN(SUBSTITUTE('Special Help Table'!$A972,";","")))=0,LEN('Special Help Table'!$A972)-LEN(SUBSTITUTE('Special Help Table'!$A972,",",""))=1,LEN('Special Help Table'!$A972)-LEN(SUBSTITUTE('Special Help Table'!$A972,"and ",""))=0),MID('Special Help Table'!$A972&amp;" "&amp;'Special Help Table'!$A972,SEARCH(", ",'Special Help Table'!$A972)+1,LEN('Special Help Table'!$A972)),AND(LEN('Special Help Table'!$A972)-(LEN(SUBSTITUTE('Special Help Table'!$A972,";","")))=1,LEN('Special Help Table'!$A972)-LEN(SUBSTITUTE('Special Help Table'!$A972,"and ",""))=0),MID('Special Help Table'!$A972,SEARCH(",",'Special Help Table'!$A972)+1,(SEARCH(";",'Special Help Table'!$A972)-1)-SEARCH(",",'Special Help Table'!$A972))&amp;" "&amp;LEFT('Special Help Table'!$A972,SEARCH(",",'Special Help Table'!$A972)-1)&amp;";"&amp;RIGHT('Special Help Table'!$A972,LEN('Special Help Table'!$A972)-SEARCH(",",'Special Help Table'!$A972,SEARCH(";",'Special Help Table'!$A972)))&amp;" "&amp;MID('Special Help Table'!$A972,SEARCH("; ",'Special Help Table'!$A972)+2,SEARCH(",",'Special Help Table'!$A972,SEARCH(";",'Special Help Table'!$A972))-SEARCH(";",'Special Help Table'!$A972)-2),AND(LEN('Special Help Table'!$A972)-LEN(SUBSTITUTE('Special Help Table'!$A972,"and ",""))=0,LEN('Special Help Table'!$A972)-LEN(SUBSTITUTE('Special Help Table'!$A972,";",""))=0),'Special Help Table'!$A972,AND(LEN('Special Help Table'!$A972)-LEN(SUBSTITUTE('Special Help Table'!$A972,",","")=1),LEN('Special Help Table'!$A972)-LEN(SUBSTITUTE('Special Help Table'!$A972," ","")=20),LEN('Special Help Table'!$A972)-LEN(SUBSTITUTE('Special Help Table'!$A972," and",""))=0,LEN('Special Help Table'!$A972)-LEN(SUBSTITUTE('Special Help Table'!$A972,",","",FIND(" ",'Special Help Table'!$A972)+1))=0),RIGHT('Special Help Table'!$A972,LEN('Special Help Table'!$A972)-FIND(", ",'Special Help Table'!$A972))&amp;" "&amp;LEFT('Special Help Table'!$A972,FIND(",",'Special Help Table'!$A972)-1),AND(LEN('Special Help Table'!$A972)-LEN(SUBSTITUTE('Special Help Table'!$A972,"editor",""))=6,LEN('Special Help Table'!$A972)-LEN(SUBSTITUTE('Special Help Table'!$A972,"(",""))=0,LEN('Special Help Table'!$A972)-LEN(SUBSTITUTE('Special Help Table'!$A972,"and",""))=3,LEN('Special Help Table'!$A972)-LEN(SUBSTITUTE('Special Help Table'!$A972,",",""))=1,LEN('Special Help Table'!$A972)-LEN(SUBSTITUTE('Special Help Table'!$A972," ",""))=3),'Special Help Table'!$A972)</f>
        <v>0</v>
      </c>
      <c r="C972" s="4" t="s">
        <v>1668</v>
      </c>
      <c r="D972" s="2"/>
      <c r="E972" s="2" t="s">
        <v>1491</v>
      </c>
      <c r="F972" s="2"/>
      <c r="G972" s="2"/>
      <c r="H972" s="2"/>
      <c r="I972" s="2"/>
      <c r="J972" s="2"/>
      <c r="K972" s="3">
        <v>44578</v>
      </c>
      <c r="L972" s="2"/>
      <c r="M972" s="2"/>
      <c r="N972" s="2" t="s">
        <v>1494</v>
      </c>
    </row>
    <row r="973" spans="1:14" ht="15.75" customHeight="1" x14ac:dyDescent="0.35">
      <c r="A973" s="2"/>
      <c r="B973" s="2" cm="1">
        <f t="array" ref="B973">_xlfn.IFS(AND(LEN('Special Help Table'!$A973)-(LEN(SUBSTITUTE('Special Help Table'!$A973,";","")))=0,LEN('Special Help Table'!$A973)-LEN(SUBSTITUTE('Special Help Table'!$A973,",",""))=1,LEN('Special Help Table'!$A973)-LEN(SUBSTITUTE('Special Help Table'!$A973,"and ",""))=0),MID('Special Help Table'!$A973&amp;" "&amp;'Special Help Table'!$A973,SEARCH(", ",'Special Help Table'!$A973)+1,LEN('Special Help Table'!$A973)),AND(LEN('Special Help Table'!$A973)-(LEN(SUBSTITUTE('Special Help Table'!$A973,";","")))=1,LEN('Special Help Table'!$A973)-LEN(SUBSTITUTE('Special Help Table'!$A973,"and ",""))=0),MID('Special Help Table'!$A973,SEARCH(",",'Special Help Table'!$A973)+1,(SEARCH(";",'Special Help Table'!$A973)-1)-SEARCH(",",'Special Help Table'!$A973))&amp;" "&amp;LEFT('Special Help Table'!$A973,SEARCH(",",'Special Help Table'!$A973)-1)&amp;";"&amp;RIGHT('Special Help Table'!$A973,LEN('Special Help Table'!$A973)-SEARCH(",",'Special Help Table'!$A973,SEARCH(";",'Special Help Table'!$A973)))&amp;" "&amp;MID('Special Help Table'!$A973,SEARCH("; ",'Special Help Table'!$A973)+2,SEARCH(",",'Special Help Table'!$A973,SEARCH(";",'Special Help Table'!$A973))-SEARCH(";",'Special Help Table'!$A973)-2),AND(LEN('Special Help Table'!$A973)-LEN(SUBSTITUTE('Special Help Table'!$A973,"and ",""))=0,LEN('Special Help Table'!$A973)-LEN(SUBSTITUTE('Special Help Table'!$A973,";",""))=0),'Special Help Table'!$A973,AND(LEN('Special Help Table'!$A973)-LEN(SUBSTITUTE('Special Help Table'!$A973,",","")=1),LEN('Special Help Table'!$A973)-LEN(SUBSTITUTE('Special Help Table'!$A973," ","")=20),LEN('Special Help Table'!$A973)-LEN(SUBSTITUTE('Special Help Table'!$A973," and",""))=0,LEN('Special Help Table'!$A973)-LEN(SUBSTITUTE('Special Help Table'!$A973,",","",FIND(" ",'Special Help Table'!$A973)+1))=0),RIGHT('Special Help Table'!$A973,LEN('Special Help Table'!$A973)-FIND(", ",'Special Help Table'!$A973))&amp;" "&amp;LEFT('Special Help Table'!$A973,FIND(",",'Special Help Table'!$A973)-1),AND(LEN('Special Help Table'!$A973)-LEN(SUBSTITUTE('Special Help Table'!$A973,"editor",""))=6,LEN('Special Help Table'!$A973)-LEN(SUBSTITUTE('Special Help Table'!$A973,"(",""))=0,LEN('Special Help Table'!$A973)-LEN(SUBSTITUTE('Special Help Table'!$A973,"and",""))=3,LEN('Special Help Table'!$A973)-LEN(SUBSTITUTE('Special Help Table'!$A973,",",""))=1,LEN('Special Help Table'!$A973)-LEN(SUBSTITUTE('Special Help Table'!$A973," ",""))=3),'Special Help Table'!$A973)</f>
        <v>0</v>
      </c>
      <c r="C973" s="4" t="s">
        <v>1669</v>
      </c>
      <c r="D973" s="2"/>
      <c r="E973" s="2" t="s">
        <v>1491</v>
      </c>
      <c r="F973" s="2"/>
      <c r="G973" s="2"/>
      <c r="H973" s="2"/>
      <c r="I973" s="2"/>
      <c r="J973" s="2"/>
      <c r="K973" s="3"/>
      <c r="L973" s="2"/>
      <c r="M973" s="2"/>
      <c r="N973" s="2" t="s">
        <v>1494</v>
      </c>
    </row>
    <row r="974" spans="1:14" ht="15.75" customHeight="1" x14ac:dyDescent="0.35">
      <c r="A974" s="2"/>
      <c r="B974" s="2" cm="1">
        <f t="array" ref="B974">_xlfn.IFS(AND(LEN('Special Help Table'!$A974)-(LEN(SUBSTITUTE('Special Help Table'!$A974,";","")))=0,LEN('Special Help Table'!$A974)-LEN(SUBSTITUTE('Special Help Table'!$A974,",",""))=1,LEN('Special Help Table'!$A974)-LEN(SUBSTITUTE('Special Help Table'!$A974,"and ",""))=0),MID('Special Help Table'!$A974&amp;" "&amp;'Special Help Table'!$A974,SEARCH(", ",'Special Help Table'!$A974)+1,LEN('Special Help Table'!$A974)),AND(LEN('Special Help Table'!$A974)-(LEN(SUBSTITUTE('Special Help Table'!$A974,";","")))=1,LEN('Special Help Table'!$A974)-LEN(SUBSTITUTE('Special Help Table'!$A974,"and ",""))=0),MID('Special Help Table'!$A974,SEARCH(",",'Special Help Table'!$A974)+1,(SEARCH(";",'Special Help Table'!$A974)-1)-SEARCH(",",'Special Help Table'!$A974))&amp;" "&amp;LEFT('Special Help Table'!$A974,SEARCH(",",'Special Help Table'!$A974)-1)&amp;";"&amp;RIGHT('Special Help Table'!$A974,LEN('Special Help Table'!$A974)-SEARCH(",",'Special Help Table'!$A974,SEARCH(";",'Special Help Table'!$A974)))&amp;" "&amp;MID('Special Help Table'!$A974,SEARCH("; ",'Special Help Table'!$A974)+2,SEARCH(",",'Special Help Table'!$A974,SEARCH(";",'Special Help Table'!$A974))-SEARCH(";",'Special Help Table'!$A974)-2),AND(LEN('Special Help Table'!$A974)-LEN(SUBSTITUTE('Special Help Table'!$A974,"and ",""))=0,LEN('Special Help Table'!$A974)-LEN(SUBSTITUTE('Special Help Table'!$A974,";",""))=0),'Special Help Table'!$A974,AND(LEN('Special Help Table'!$A974)-LEN(SUBSTITUTE('Special Help Table'!$A974,",","")=1),LEN('Special Help Table'!$A974)-LEN(SUBSTITUTE('Special Help Table'!$A974," ","")=20),LEN('Special Help Table'!$A974)-LEN(SUBSTITUTE('Special Help Table'!$A974," and",""))=0,LEN('Special Help Table'!$A974)-LEN(SUBSTITUTE('Special Help Table'!$A974,",","",FIND(" ",'Special Help Table'!$A974)+1))=0),RIGHT('Special Help Table'!$A974,LEN('Special Help Table'!$A974)-FIND(", ",'Special Help Table'!$A974))&amp;" "&amp;LEFT('Special Help Table'!$A974,FIND(",",'Special Help Table'!$A974)-1),AND(LEN('Special Help Table'!$A974)-LEN(SUBSTITUTE('Special Help Table'!$A974,"editor",""))=6,LEN('Special Help Table'!$A974)-LEN(SUBSTITUTE('Special Help Table'!$A974,"(",""))=0,LEN('Special Help Table'!$A974)-LEN(SUBSTITUTE('Special Help Table'!$A974,"and",""))=3,LEN('Special Help Table'!$A974)-LEN(SUBSTITUTE('Special Help Table'!$A974,",",""))=1,LEN('Special Help Table'!$A974)-LEN(SUBSTITUTE('Special Help Table'!$A974," ",""))=3),'Special Help Table'!$A974)</f>
        <v>0</v>
      </c>
      <c r="C974" s="4" t="s">
        <v>1670</v>
      </c>
      <c r="D974" s="2"/>
      <c r="E974" s="2" t="s">
        <v>1491</v>
      </c>
      <c r="F974" s="2"/>
      <c r="G974" s="2"/>
      <c r="H974" s="2"/>
      <c r="I974" s="2"/>
      <c r="J974" s="2"/>
      <c r="K974" s="3">
        <v>40554</v>
      </c>
      <c r="L974" s="2"/>
      <c r="M974" s="2"/>
      <c r="N974" s="2" t="s">
        <v>1494</v>
      </c>
    </row>
    <row r="975" spans="1:14" ht="15.75" customHeight="1" x14ac:dyDescent="0.35">
      <c r="A975" s="2"/>
      <c r="B975" s="2" cm="1">
        <f t="array" ref="B975">_xlfn.IFS(AND(LEN('Special Help Table'!$A975)-(LEN(SUBSTITUTE('Special Help Table'!$A975,";","")))=0,LEN('Special Help Table'!$A975)-LEN(SUBSTITUTE('Special Help Table'!$A975,",",""))=1,LEN('Special Help Table'!$A975)-LEN(SUBSTITUTE('Special Help Table'!$A975,"and ",""))=0),MID('Special Help Table'!$A975&amp;" "&amp;'Special Help Table'!$A975,SEARCH(", ",'Special Help Table'!$A975)+1,LEN('Special Help Table'!$A975)),AND(LEN('Special Help Table'!$A975)-(LEN(SUBSTITUTE('Special Help Table'!$A975,";","")))=1,LEN('Special Help Table'!$A975)-LEN(SUBSTITUTE('Special Help Table'!$A975,"and ",""))=0),MID('Special Help Table'!$A975,SEARCH(",",'Special Help Table'!$A975)+1,(SEARCH(";",'Special Help Table'!$A975)-1)-SEARCH(",",'Special Help Table'!$A975))&amp;" "&amp;LEFT('Special Help Table'!$A975,SEARCH(",",'Special Help Table'!$A975)-1)&amp;";"&amp;RIGHT('Special Help Table'!$A975,LEN('Special Help Table'!$A975)-SEARCH(",",'Special Help Table'!$A975,SEARCH(";",'Special Help Table'!$A975)))&amp;" "&amp;MID('Special Help Table'!$A975,SEARCH("; ",'Special Help Table'!$A975)+2,SEARCH(",",'Special Help Table'!$A975,SEARCH(";",'Special Help Table'!$A975))-SEARCH(";",'Special Help Table'!$A975)-2),AND(LEN('Special Help Table'!$A975)-LEN(SUBSTITUTE('Special Help Table'!$A975,"and ",""))=0,LEN('Special Help Table'!$A975)-LEN(SUBSTITUTE('Special Help Table'!$A975,";",""))=0),'Special Help Table'!$A975,AND(LEN('Special Help Table'!$A975)-LEN(SUBSTITUTE('Special Help Table'!$A975,",","")=1),LEN('Special Help Table'!$A975)-LEN(SUBSTITUTE('Special Help Table'!$A975," ","")=20),LEN('Special Help Table'!$A975)-LEN(SUBSTITUTE('Special Help Table'!$A975," and",""))=0,LEN('Special Help Table'!$A975)-LEN(SUBSTITUTE('Special Help Table'!$A975,",","",FIND(" ",'Special Help Table'!$A975)+1))=0),RIGHT('Special Help Table'!$A975,LEN('Special Help Table'!$A975)-FIND(", ",'Special Help Table'!$A975))&amp;" "&amp;LEFT('Special Help Table'!$A975,FIND(",",'Special Help Table'!$A975)-1),AND(LEN('Special Help Table'!$A975)-LEN(SUBSTITUTE('Special Help Table'!$A975,"editor",""))=6,LEN('Special Help Table'!$A975)-LEN(SUBSTITUTE('Special Help Table'!$A975,"(",""))=0,LEN('Special Help Table'!$A975)-LEN(SUBSTITUTE('Special Help Table'!$A975,"and",""))=3,LEN('Special Help Table'!$A975)-LEN(SUBSTITUTE('Special Help Table'!$A975,",",""))=1,LEN('Special Help Table'!$A975)-LEN(SUBSTITUTE('Special Help Table'!$A975," ",""))=3),'Special Help Table'!$A975)</f>
        <v>0</v>
      </c>
      <c r="C975" s="4" t="s">
        <v>1671</v>
      </c>
      <c r="D975" s="2"/>
      <c r="E975" s="2" t="s">
        <v>1491</v>
      </c>
      <c r="F975" s="2"/>
      <c r="G975" s="2"/>
      <c r="H975" s="2"/>
      <c r="I975" s="2"/>
      <c r="J975" s="2"/>
      <c r="K975" s="3">
        <v>42385</v>
      </c>
      <c r="L975" s="2"/>
      <c r="M975" s="2"/>
      <c r="N975" s="2" t="s">
        <v>1494</v>
      </c>
    </row>
    <row r="976" spans="1:14" ht="15.75" customHeight="1" x14ac:dyDescent="0.35">
      <c r="A976" s="2"/>
      <c r="B976" s="2" cm="1">
        <f t="array" ref="B976">_xlfn.IFS(AND(LEN('Special Help Table'!$A976)-(LEN(SUBSTITUTE('Special Help Table'!$A976,";","")))=0,LEN('Special Help Table'!$A976)-LEN(SUBSTITUTE('Special Help Table'!$A976,",",""))=1,LEN('Special Help Table'!$A976)-LEN(SUBSTITUTE('Special Help Table'!$A976,"and ",""))=0),MID('Special Help Table'!$A976&amp;" "&amp;'Special Help Table'!$A976,SEARCH(", ",'Special Help Table'!$A976)+1,LEN('Special Help Table'!$A976)),AND(LEN('Special Help Table'!$A976)-(LEN(SUBSTITUTE('Special Help Table'!$A976,";","")))=1,LEN('Special Help Table'!$A976)-LEN(SUBSTITUTE('Special Help Table'!$A976,"and ",""))=0),MID('Special Help Table'!$A976,SEARCH(",",'Special Help Table'!$A976)+1,(SEARCH(";",'Special Help Table'!$A976)-1)-SEARCH(",",'Special Help Table'!$A976))&amp;" "&amp;LEFT('Special Help Table'!$A976,SEARCH(",",'Special Help Table'!$A976)-1)&amp;";"&amp;RIGHT('Special Help Table'!$A976,LEN('Special Help Table'!$A976)-SEARCH(",",'Special Help Table'!$A976,SEARCH(";",'Special Help Table'!$A976)))&amp;" "&amp;MID('Special Help Table'!$A976,SEARCH("; ",'Special Help Table'!$A976)+2,SEARCH(",",'Special Help Table'!$A976,SEARCH(";",'Special Help Table'!$A976))-SEARCH(";",'Special Help Table'!$A976)-2),AND(LEN('Special Help Table'!$A976)-LEN(SUBSTITUTE('Special Help Table'!$A976,"and ",""))=0,LEN('Special Help Table'!$A976)-LEN(SUBSTITUTE('Special Help Table'!$A976,";",""))=0),'Special Help Table'!$A976,AND(LEN('Special Help Table'!$A976)-LEN(SUBSTITUTE('Special Help Table'!$A976,",","")=1),LEN('Special Help Table'!$A976)-LEN(SUBSTITUTE('Special Help Table'!$A976," ","")=20),LEN('Special Help Table'!$A976)-LEN(SUBSTITUTE('Special Help Table'!$A976," and",""))=0,LEN('Special Help Table'!$A976)-LEN(SUBSTITUTE('Special Help Table'!$A976,",","",FIND(" ",'Special Help Table'!$A976)+1))=0),RIGHT('Special Help Table'!$A976,LEN('Special Help Table'!$A976)-FIND(", ",'Special Help Table'!$A976))&amp;" "&amp;LEFT('Special Help Table'!$A976,FIND(",",'Special Help Table'!$A976)-1),AND(LEN('Special Help Table'!$A976)-LEN(SUBSTITUTE('Special Help Table'!$A976,"editor",""))=6,LEN('Special Help Table'!$A976)-LEN(SUBSTITUTE('Special Help Table'!$A976,"(",""))=0,LEN('Special Help Table'!$A976)-LEN(SUBSTITUTE('Special Help Table'!$A976,"and",""))=3,LEN('Special Help Table'!$A976)-LEN(SUBSTITUTE('Special Help Table'!$A976,",",""))=1,LEN('Special Help Table'!$A976)-LEN(SUBSTITUTE('Special Help Table'!$A976," ",""))=3),'Special Help Table'!$A976)</f>
        <v>0</v>
      </c>
      <c r="C976" s="4" t="s">
        <v>1672</v>
      </c>
      <c r="D976" s="2"/>
      <c r="E976" s="2" t="s">
        <v>1491</v>
      </c>
      <c r="F976" s="2"/>
      <c r="G976" s="2"/>
      <c r="H976" s="2"/>
      <c r="I976" s="2"/>
      <c r="J976" s="2"/>
      <c r="K976" s="3">
        <v>40034</v>
      </c>
      <c r="L976" s="2" t="s">
        <v>1673</v>
      </c>
      <c r="M976" s="2"/>
      <c r="N976" s="2" t="s">
        <v>1494</v>
      </c>
    </row>
    <row r="977" spans="1:14" ht="15.75" customHeight="1" x14ac:dyDescent="0.35">
      <c r="A977" s="2"/>
      <c r="B977" s="2" cm="1">
        <f t="array" ref="B977">_xlfn.IFS(AND(LEN('Special Help Table'!$A977)-(LEN(SUBSTITUTE('Special Help Table'!$A977,";","")))=0,LEN('Special Help Table'!$A977)-LEN(SUBSTITUTE('Special Help Table'!$A977,",",""))=1,LEN('Special Help Table'!$A977)-LEN(SUBSTITUTE('Special Help Table'!$A977,"and ",""))=0),MID('Special Help Table'!$A977&amp;" "&amp;'Special Help Table'!$A977,SEARCH(", ",'Special Help Table'!$A977)+1,LEN('Special Help Table'!$A977)),AND(LEN('Special Help Table'!$A977)-(LEN(SUBSTITUTE('Special Help Table'!$A977,";","")))=1,LEN('Special Help Table'!$A977)-LEN(SUBSTITUTE('Special Help Table'!$A977,"and ",""))=0),MID('Special Help Table'!$A977,SEARCH(",",'Special Help Table'!$A977)+1,(SEARCH(";",'Special Help Table'!$A977)-1)-SEARCH(",",'Special Help Table'!$A977))&amp;" "&amp;LEFT('Special Help Table'!$A977,SEARCH(",",'Special Help Table'!$A977)-1)&amp;";"&amp;RIGHT('Special Help Table'!$A977,LEN('Special Help Table'!$A977)-SEARCH(",",'Special Help Table'!$A977,SEARCH(";",'Special Help Table'!$A977)))&amp;" "&amp;MID('Special Help Table'!$A977,SEARCH("; ",'Special Help Table'!$A977)+2,SEARCH(",",'Special Help Table'!$A977,SEARCH(";",'Special Help Table'!$A977))-SEARCH(";",'Special Help Table'!$A977)-2),AND(LEN('Special Help Table'!$A977)-LEN(SUBSTITUTE('Special Help Table'!$A977,"and ",""))=0,LEN('Special Help Table'!$A977)-LEN(SUBSTITUTE('Special Help Table'!$A977,";",""))=0),'Special Help Table'!$A977,AND(LEN('Special Help Table'!$A977)-LEN(SUBSTITUTE('Special Help Table'!$A977,",","")=1),LEN('Special Help Table'!$A977)-LEN(SUBSTITUTE('Special Help Table'!$A977," ","")=20),LEN('Special Help Table'!$A977)-LEN(SUBSTITUTE('Special Help Table'!$A977," and",""))=0,LEN('Special Help Table'!$A977)-LEN(SUBSTITUTE('Special Help Table'!$A977,",","",FIND(" ",'Special Help Table'!$A977)+1))=0),RIGHT('Special Help Table'!$A977,LEN('Special Help Table'!$A977)-FIND(", ",'Special Help Table'!$A977))&amp;" "&amp;LEFT('Special Help Table'!$A977,FIND(",",'Special Help Table'!$A977)-1),AND(LEN('Special Help Table'!$A977)-LEN(SUBSTITUTE('Special Help Table'!$A977,"editor",""))=6,LEN('Special Help Table'!$A977)-LEN(SUBSTITUTE('Special Help Table'!$A977,"(",""))=0,LEN('Special Help Table'!$A977)-LEN(SUBSTITUTE('Special Help Table'!$A977,"and",""))=3,LEN('Special Help Table'!$A977)-LEN(SUBSTITUTE('Special Help Table'!$A977,",",""))=1,LEN('Special Help Table'!$A977)-LEN(SUBSTITUTE('Special Help Table'!$A977," ",""))=3),'Special Help Table'!$A977)</f>
        <v>0</v>
      </c>
      <c r="C977" s="4" t="s">
        <v>1674</v>
      </c>
      <c r="D977" s="2"/>
      <c r="E977" s="2" t="s">
        <v>1491</v>
      </c>
      <c r="F977" s="2"/>
      <c r="G977" s="2"/>
      <c r="H977" s="2"/>
      <c r="I977" s="2"/>
      <c r="J977" s="2"/>
      <c r="K977" s="3">
        <v>40026</v>
      </c>
      <c r="L977" s="2"/>
      <c r="M977" s="2"/>
      <c r="N977" s="2" t="s">
        <v>1494</v>
      </c>
    </row>
    <row r="978" spans="1:14" ht="15.75" customHeight="1" x14ac:dyDescent="0.35">
      <c r="A978" s="2"/>
      <c r="B978" s="2" cm="1">
        <f t="array" ref="B978">_xlfn.IFS(AND(LEN('Special Help Table'!$A978)-(LEN(SUBSTITUTE('Special Help Table'!$A978,";","")))=0,LEN('Special Help Table'!$A978)-LEN(SUBSTITUTE('Special Help Table'!$A978,",",""))=1,LEN('Special Help Table'!$A978)-LEN(SUBSTITUTE('Special Help Table'!$A978,"and ",""))=0),MID('Special Help Table'!$A978&amp;" "&amp;'Special Help Table'!$A978,SEARCH(", ",'Special Help Table'!$A978)+1,LEN('Special Help Table'!$A978)),AND(LEN('Special Help Table'!$A978)-(LEN(SUBSTITUTE('Special Help Table'!$A978,";","")))=1,LEN('Special Help Table'!$A978)-LEN(SUBSTITUTE('Special Help Table'!$A978,"and ",""))=0),MID('Special Help Table'!$A978,SEARCH(",",'Special Help Table'!$A978)+1,(SEARCH(";",'Special Help Table'!$A978)-1)-SEARCH(",",'Special Help Table'!$A978))&amp;" "&amp;LEFT('Special Help Table'!$A978,SEARCH(",",'Special Help Table'!$A978)-1)&amp;";"&amp;RIGHT('Special Help Table'!$A978,LEN('Special Help Table'!$A978)-SEARCH(",",'Special Help Table'!$A978,SEARCH(";",'Special Help Table'!$A978)))&amp;" "&amp;MID('Special Help Table'!$A978,SEARCH("; ",'Special Help Table'!$A978)+2,SEARCH(",",'Special Help Table'!$A978,SEARCH(";",'Special Help Table'!$A978))-SEARCH(";",'Special Help Table'!$A978)-2),AND(LEN('Special Help Table'!$A978)-LEN(SUBSTITUTE('Special Help Table'!$A978,"and ",""))=0,LEN('Special Help Table'!$A978)-LEN(SUBSTITUTE('Special Help Table'!$A978,";",""))=0),'Special Help Table'!$A978,AND(LEN('Special Help Table'!$A978)-LEN(SUBSTITUTE('Special Help Table'!$A978,",","")=1),LEN('Special Help Table'!$A978)-LEN(SUBSTITUTE('Special Help Table'!$A978," ","")=20),LEN('Special Help Table'!$A978)-LEN(SUBSTITUTE('Special Help Table'!$A978," and",""))=0,LEN('Special Help Table'!$A978)-LEN(SUBSTITUTE('Special Help Table'!$A978,",","",FIND(" ",'Special Help Table'!$A978)+1))=0),RIGHT('Special Help Table'!$A978,LEN('Special Help Table'!$A978)-FIND(", ",'Special Help Table'!$A978))&amp;" "&amp;LEFT('Special Help Table'!$A978,FIND(",",'Special Help Table'!$A978)-1),AND(LEN('Special Help Table'!$A978)-LEN(SUBSTITUTE('Special Help Table'!$A978,"editor",""))=6,LEN('Special Help Table'!$A978)-LEN(SUBSTITUTE('Special Help Table'!$A978,"(",""))=0,LEN('Special Help Table'!$A978)-LEN(SUBSTITUTE('Special Help Table'!$A978,"and",""))=3,LEN('Special Help Table'!$A978)-LEN(SUBSTITUTE('Special Help Table'!$A978,",",""))=1,LEN('Special Help Table'!$A978)-LEN(SUBSTITUTE('Special Help Table'!$A978," ",""))=3),'Special Help Table'!$A978)</f>
        <v>0</v>
      </c>
      <c r="C978" s="4" t="s">
        <v>1675</v>
      </c>
      <c r="D978" s="2"/>
      <c r="E978" s="2" t="s">
        <v>1491</v>
      </c>
      <c r="F978" s="2"/>
      <c r="G978" s="2"/>
      <c r="H978" s="2"/>
      <c r="I978" s="2"/>
      <c r="J978" s="2"/>
      <c r="K978" s="3">
        <v>42231</v>
      </c>
      <c r="L978" s="2"/>
      <c r="M978" s="2"/>
      <c r="N978" s="2" t="s">
        <v>1494</v>
      </c>
    </row>
    <row r="979" spans="1:14" ht="15.75" customHeight="1" x14ac:dyDescent="0.35">
      <c r="A979" s="2"/>
      <c r="B979" s="2" cm="1">
        <f t="array" ref="B979">_xlfn.IFS(AND(LEN('Special Help Table'!$A979)-(LEN(SUBSTITUTE('Special Help Table'!$A979,";","")))=0,LEN('Special Help Table'!$A979)-LEN(SUBSTITUTE('Special Help Table'!$A979,",",""))=1,LEN('Special Help Table'!$A979)-LEN(SUBSTITUTE('Special Help Table'!$A979,"and ",""))=0),MID('Special Help Table'!$A979&amp;" "&amp;'Special Help Table'!$A979,SEARCH(", ",'Special Help Table'!$A979)+1,LEN('Special Help Table'!$A979)),AND(LEN('Special Help Table'!$A979)-(LEN(SUBSTITUTE('Special Help Table'!$A979,";","")))=1,LEN('Special Help Table'!$A979)-LEN(SUBSTITUTE('Special Help Table'!$A979,"and ",""))=0),MID('Special Help Table'!$A979,SEARCH(",",'Special Help Table'!$A979)+1,(SEARCH(";",'Special Help Table'!$A979)-1)-SEARCH(",",'Special Help Table'!$A979))&amp;" "&amp;LEFT('Special Help Table'!$A979,SEARCH(",",'Special Help Table'!$A979)-1)&amp;";"&amp;RIGHT('Special Help Table'!$A979,LEN('Special Help Table'!$A979)-SEARCH(",",'Special Help Table'!$A979,SEARCH(";",'Special Help Table'!$A979)))&amp;" "&amp;MID('Special Help Table'!$A979,SEARCH("; ",'Special Help Table'!$A979)+2,SEARCH(",",'Special Help Table'!$A979,SEARCH(";",'Special Help Table'!$A979))-SEARCH(";",'Special Help Table'!$A979)-2),AND(LEN('Special Help Table'!$A979)-LEN(SUBSTITUTE('Special Help Table'!$A979,"and ",""))=0,LEN('Special Help Table'!$A979)-LEN(SUBSTITUTE('Special Help Table'!$A979,";",""))=0),'Special Help Table'!$A979,AND(LEN('Special Help Table'!$A979)-LEN(SUBSTITUTE('Special Help Table'!$A979,",","")=1),LEN('Special Help Table'!$A979)-LEN(SUBSTITUTE('Special Help Table'!$A979," ","")=20),LEN('Special Help Table'!$A979)-LEN(SUBSTITUTE('Special Help Table'!$A979," and",""))=0,LEN('Special Help Table'!$A979)-LEN(SUBSTITUTE('Special Help Table'!$A979,",","",FIND(" ",'Special Help Table'!$A979)+1))=0),RIGHT('Special Help Table'!$A979,LEN('Special Help Table'!$A979)-FIND(", ",'Special Help Table'!$A979))&amp;" "&amp;LEFT('Special Help Table'!$A979,FIND(",",'Special Help Table'!$A979)-1),AND(LEN('Special Help Table'!$A979)-LEN(SUBSTITUTE('Special Help Table'!$A979,"editor",""))=6,LEN('Special Help Table'!$A979)-LEN(SUBSTITUTE('Special Help Table'!$A979,"(",""))=0,LEN('Special Help Table'!$A979)-LEN(SUBSTITUTE('Special Help Table'!$A979,"and",""))=3,LEN('Special Help Table'!$A979)-LEN(SUBSTITUTE('Special Help Table'!$A979,",",""))=1,LEN('Special Help Table'!$A979)-LEN(SUBSTITUTE('Special Help Table'!$A979," ",""))=3),'Special Help Table'!$A979)</f>
        <v>0</v>
      </c>
      <c r="C979" s="4" t="s">
        <v>1676</v>
      </c>
      <c r="D979" s="2"/>
      <c r="E979" s="2" t="s">
        <v>1491</v>
      </c>
      <c r="F979" s="2"/>
      <c r="G979" s="2"/>
      <c r="H979" s="2"/>
      <c r="I979" s="2"/>
      <c r="J979" s="2"/>
      <c r="K979" s="3">
        <v>40827</v>
      </c>
      <c r="L979" s="2"/>
      <c r="M979" s="2"/>
      <c r="N979" s="2" t="s">
        <v>1494</v>
      </c>
    </row>
    <row r="980" spans="1:14" ht="15.75" customHeight="1" x14ac:dyDescent="0.35">
      <c r="A980" s="2"/>
      <c r="B980" s="2" cm="1">
        <f t="array" ref="B980">_xlfn.IFS(AND(LEN('Special Help Table'!$A980)-(LEN(SUBSTITUTE('Special Help Table'!$A980,";","")))=0,LEN('Special Help Table'!$A980)-LEN(SUBSTITUTE('Special Help Table'!$A980,",",""))=1,LEN('Special Help Table'!$A980)-LEN(SUBSTITUTE('Special Help Table'!$A980,"and ",""))=0),MID('Special Help Table'!$A980&amp;" "&amp;'Special Help Table'!$A980,SEARCH(", ",'Special Help Table'!$A980)+1,LEN('Special Help Table'!$A980)),AND(LEN('Special Help Table'!$A980)-(LEN(SUBSTITUTE('Special Help Table'!$A980,";","")))=1,LEN('Special Help Table'!$A980)-LEN(SUBSTITUTE('Special Help Table'!$A980,"and ",""))=0),MID('Special Help Table'!$A980,SEARCH(",",'Special Help Table'!$A980)+1,(SEARCH(";",'Special Help Table'!$A980)-1)-SEARCH(",",'Special Help Table'!$A980))&amp;" "&amp;LEFT('Special Help Table'!$A980,SEARCH(",",'Special Help Table'!$A980)-1)&amp;";"&amp;RIGHT('Special Help Table'!$A980,LEN('Special Help Table'!$A980)-SEARCH(",",'Special Help Table'!$A980,SEARCH(";",'Special Help Table'!$A980)))&amp;" "&amp;MID('Special Help Table'!$A980,SEARCH("; ",'Special Help Table'!$A980)+2,SEARCH(",",'Special Help Table'!$A980,SEARCH(";",'Special Help Table'!$A980))-SEARCH(";",'Special Help Table'!$A980)-2),AND(LEN('Special Help Table'!$A980)-LEN(SUBSTITUTE('Special Help Table'!$A980,"and ",""))=0,LEN('Special Help Table'!$A980)-LEN(SUBSTITUTE('Special Help Table'!$A980,";",""))=0),'Special Help Table'!$A980,AND(LEN('Special Help Table'!$A980)-LEN(SUBSTITUTE('Special Help Table'!$A980,",","")=1),LEN('Special Help Table'!$A980)-LEN(SUBSTITUTE('Special Help Table'!$A980," ","")=20),LEN('Special Help Table'!$A980)-LEN(SUBSTITUTE('Special Help Table'!$A980," and",""))=0,LEN('Special Help Table'!$A980)-LEN(SUBSTITUTE('Special Help Table'!$A980,",","",FIND(" ",'Special Help Table'!$A980)+1))=0),RIGHT('Special Help Table'!$A980,LEN('Special Help Table'!$A980)-FIND(", ",'Special Help Table'!$A980))&amp;" "&amp;LEFT('Special Help Table'!$A980,FIND(",",'Special Help Table'!$A980)-1),AND(LEN('Special Help Table'!$A980)-LEN(SUBSTITUTE('Special Help Table'!$A980,"editor",""))=6,LEN('Special Help Table'!$A980)-LEN(SUBSTITUTE('Special Help Table'!$A980,"(",""))=0,LEN('Special Help Table'!$A980)-LEN(SUBSTITUTE('Special Help Table'!$A980,"and",""))=3,LEN('Special Help Table'!$A980)-LEN(SUBSTITUTE('Special Help Table'!$A980,",",""))=1,LEN('Special Help Table'!$A980)-LEN(SUBSTITUTE('Special Help Table'!$A980," ",""))=3),'Special Help Table'!$A980)</f>
        <v>0</v>
      </c>
      <c r="C980" s="4" t="s">
        <v>1677</v>
      </c>
      <c r="D980" s="2"/>
      <c r="E980" s="2" t="s">
        <v>1491</v>
      </c>
      <c r="F980" s="2"/>
      <c r="G980" s="2"/>
      <c r="H980" s="2"/>
      <c r="I980" s="2"/>
      <c r="J980" s="2"/>
      <c r="K980" s="3">
        <v>44240</v>
      </c>
      <c r="L980" s="2"/>
      <c r="M980" s="2" t="s">
        <v>1678</v>
      </c>
      <c r="N980" s="2" t="s">
        <v>1494</v>
      </c>
    </row>
    <row r="981" spans="1:14" ht="15.75" customHeight="1" x14ac:dyDescent="0.35">
      <c r="A981" s="2"/>
      <c r="B981" s="2" cm="1">
        <f t="array" ref="B981">_xlfn.IFS(AND(LEN('Special Help Table'!$A981)-(LEN(SUBSTITUTE('Special Help Table'!$A981,";","")))=0,LEN('Special Help Table'!$A981)-LEN(SUBSTITUTE('Special Help Table'!$A981,",",""))=1,LEN('Special Help Table'!$A981)-LEN(SUBSTITUTE('Special Help Table'!$A981,"and ",""))=0),MID('Special Help Table'!$A981&amp;" "&amp;'Special Help Table'!$A981,SEARCH(", ",'Special Help Table'!$A981)+1,LEN('Special Help Table'!$A981)),AND(LEN('Special Help Table'!$A981)-(LEN(SUBSTITUTE('Special Help Table'!$A981,";","")))=1,LEN('Special Help Table'!$A981)-LEN(SUBSTITUTE('Special Help Table'!$A981,"and ",""))=0),MID('Special Help Table'!$A981,SEARCH(",",'Special Help Table'!$A981)+1,(SEARCH(";",'Special Help Table'!$A981)-1)-SEARCH(",",'Special Help Table'!$A981))&amp;" "&amp;LEFT('Special Help Table'!$A981,SEARCH(",",'Special Help Table'!$A981)-1)&amp;";"&amp;RIGHT('Special Help Table'!$A981,LEN('Special Help Table'!$A981)-SEARCH(",",'Special Help Table'!$A981,SEARCH(";",'Special Help Table'!$A981)))&amp;" "&amp;MID('Special Help Table'!$A981,SEARCH("; ",'Special Help Table'!$A981)+2,SEARCH(",",'Special Help Table'!$A981,SEARCH(";",'Special Help Table'!$A981))-SEARCH(";",'Special Help Table'!$A981)-2),AND(LEN('Special Help Table'!$A981)-LEN(SUBSTITUTE('Special Help Table'!$A981,"and ",""))=0,LEN('Special Help Table'!$A981)-LEN(SUBSTITUTE('Special Help Table'!$A981,";",""))=0),'Special Help Table'!$A981,AND(LEN('Special Help Table'!$A981)-LEN(SUBSTITUTE('Special Help Table'!$A981,",","")=1),LEN('Special Help Table'!$A981)-LEN(SUBSTITUTE('Special Help Table'!$A981," ","")=20),LEN('Special Help Table'!$A981)-LEN(SUBSTITUTE('Special Help Table'!$A981," and",""))=0,LEN('Special Help Table'!$A981)-LEN(SUBSTITUTE('Special Help Table'!$A981,",","",FIND(" ",'Special Help Table'!$A981)+1))=0),RIGHT('Special Help Table'!$A981,LEN('Special Help Table'!$A981)-FIND(", ",'Special Help Table'!$A981))&amp;" "&amp;LEFT('Special Help Table'!$A981,FIND(",",'Special Help Table'!$A981)-1),AND(LEN('Special Help Table'!$A981)-LEN(SUBSTITUTE('Special Help Table'!$A981,"editor",""))=6,LEN('Special Help Table'!$A981)-LEN(SUBSTITUTE('Special Help Table'!$A981,"(",""))=0,LEN('Special Help Table'!$A981)-LEN(SUBSTITUTE('Special Help Table'!$A981,"and",""))=3,LEN('Special Help Table'!$A981)-LEN(SUBSTITUTE('Special Help Table'!$A981,",",""))=1,LEN('Special Help Table'!$A981)-LEN(SUBSTITUTE('Special Help Table'!$A981," ",""))=3),'Special Help Table'!$A981)</f>
        <v>0</v>
      </c>
      <c r="C981" s="4" t="s">
        <v>1679</v>
      </c>
      <c r="D981" s="2"/>
      <c r="E981" s="2" t="s">
        <v>1491</v>
      </c>
      <c r="F981" s="2"/>
      <c r="G981" s="2"/>
      <c r="H981" s="2"/>
      <c r="I981" s="2"/>
      <c r="J981" s="2"/>
      <c r="K981" s="3">
        <v>40909</v>
      </c>
      <c r="L981" s="2" t="s">
        <v>1680</v>
      </c>
      <c r="M981" s="2"/>
      <c r="N981" s="2" t="s">
        <v>1494</v>
      </c>
    </row>
    <row r="982" spans="1:14" ht="15.75" customHeight="1" x14ac:dyDescent="0.35">
      <c r="A982" s="2"/>
      <c r="B982" s="2" cm="1">
        <f t="array" ref="B982">_xlfn.IFS(AND(LEN('Special Help Table'!$A982)-(LEN(SUBSTITUTE('Special Help Table'!$A982,";","")))=0,LEN('Special Help Table'!$A982)-LEN(SUBSTITUTE('Special Help Table'!$A982,",",""))=1,LEN('Special Help Table'!$A982)-LEN(SUBSTITUTE('Special Help Table'!$A982,"and ",""))=0),MID('Special Help Table'!$A982&amp;" "&amp;'Special Help Table'!$A982,SEARCH(", ",'Special Help Table'!$A982)+1,LEN('Special Help Table'!$A982)),AND(LEN('Special Help Table'!$A982)-(LEN(SUBSTITUTE('Special Help Table'!$A982,";","")))=1,LEN('Special Help Table'!$A982)-LEN(SUBSTITUTE('Special Help Table'!$A982,"and ",""))=0),MID('Special Help Table'!$A982,SEARCH(",",'Special Help Table'!$A982)+1,(SEARCH(";",'Special Help Table'!$A982)-1)-SEARCH(",",'Special Help Table'!$A982))&amp;" "&amp;LEFT('Special Help Table'!$A982,SEARCH(",",'Special Help Table'!$A982)-1)&amp;";"&amp;RIGHT('Special Help Table'!$A982,LEN('Special Help Table'!$A982)-SEARCH(",",'Special Help Table'!$A982,SEARCH(";",'Special Help Table'!$A982)))&amp;" "&amp;MID('Special Help Table'!$A982,SEARCH("; ",'Special Help Table'!$A982)+2,SEARCH(",",'Special Help Table'!$A982,SEARCH(";",'Special Help Table'!$A982))-SEARCH(";",'Special Help Table'!$A982)-2),AND(LEN('Special Help Table'!$A982)-LEN(SUBSTITUTE('Special Help Table'!$A982,"and ",""))=0,LEN('Special Help Table'!$A982)-LEN(SUBSTITUTE('Special Help Table'!$A982,";",""))=0),'Special Help Table'!$A982,AND(LEN('Special Help Table'!$A982)-LEN(SUBSTITUTE('Special Help Table'!$A982,",","")=1),LEN('Special Help Table'!$A982)-LEN(SUBSTITUTE('Special Help Table'!$A982," ","")=20),LEN('Special Help Table'!$A982)-LEN(SUBSTITUTE('Special Help Table'!$A982," and",""))=0,LEN('Special Help Table'!$A982)-LEN(SUBSTITUTE('Special Help Table'!$A982,",","",FIND(" ",'Special Help Table'!$A982)+1))=0),RIGHT('Special Help Table'!$A982,LEN('Special Help Table'!$A982)-FIND(", ",'Special Help Table'!$A982))&amp;" "&amp;LEFT('Special Help Table'!$A982,FIND(",",'Special Help Table'!$A982)-1),AND(LEN('Special Help Table'!$A982)-LEN(SUBSTITUTE('Special Help Table'!$A982,"editor",""))=6,LEN('Special Help Table'!$A982)-LEN(SUBSTITUTE('Special Help Table'!$A982,"(",""))=0,LEN('Special Help Table'!$A982)-LEN(SUBSTITUTE('Special Help Table'!$A982,"and",""))=3,LEN('Special Help Table'!$A982)-LEN(SUBSTITUTE('Special Help Table'!$A982,",",""))=1,LEN('Special Help Table'!$A982)-LEN(SUBSTITUTE('Special Help Table'!$A982," ",""))=3),'Special Help Table'!$A982)</f>
        <v>0</v>
      </c>
      <c r="C982" s="4" t="s">
        <v>1681</v>
      </c>
      <c r="D982" s="2"/>
      <c r="E982" s="2" t="s">
        <v>1491</v>
      </c>
      <c r="F982" s="2"/>
      <c r="G982" s="2"/>
      <c r="H982" s="2"/>
      <c r="I982" s="2"/>
      <c r="J982" s="2"/>
      <c r="K982" s="3">
        <v>42675</v>
      </c>
      <c r="L982" s="2"/>
      <c r="M982" s="2" t="s">
        <v>1682</v>
      </c>
      <c r="N982" s="2" t="s">
        <v>1494</v>
      </c>
    </row>
    <row r="983" spans="1:14" ht="15.75" customHeight="1" x14ac:dyDescent="0.35">
      <c r="A983" s="2"/>
      <c r="B983" s="2" cm="1">
        <f t="array" ref="B983">_xlfn.IFS(AND(LEN('Special Help Table'!$A983)-(LEN(SUBSTITUTE('Special Help Table'!$A983,";","")))=0,LEN('Special Help Table'!$A983)-LEN(SUBSTITUTE('Special Help Table'!$A983,",",""))=1,LEN('Special Help Table'!$A983)-LEN(SUBSTITUTE('Special Help Table'!$A983,"and ",""))=0),MID('Special Help Table'!$A983&amp;" "&amp;'Special Help Table'!$A983,SEARCH(", ",'Special Help Table'!$A983)+1,LEN('Special Help Table'!$A983)),AND(LEN('Special Help Table'!$A983)-(LEN(SUBSTITUTE('Special Help Table'!$A983,";","")))=1,LEN('Special Help Table'!$A983)-LEN(SUBSTITUTE('Special Help Table'!$A983,"and ",""))=0),MID('Special Help Table'!$A983,SEARCH(",",'Special Help Table'!$A983)+1,(SEARCH(";",'Special Help Table'!$A983)-1)-SEARCH(",",'Special Help Table'!$A983))&amp;" "&amp;LEFT('Special Help Table'!$A983,SEARCH(",",'Special Help Table'!$A983)-1)&amp;";"&amp;RIGHT('Special Help Table'!$A983,LEN('Special Help Table'!$A983)-SEARCH(",",'Special Help Table'!$A983,SEARCH(";",'Special Help Table'!$A983)))&amp;" "&amp;MID('Special Help Table'!$A983,SEARCH("; ",'Special Help Table'!$A983)+2,SEARCH(",",'Special Help Table'!$A983,SEARCH(";",'Special Help Table'!$A983))-SEARCH(";",'Special Help Table'!$A983)-2),AND(LEN('Special Help Table'!$A983)-LEN(SUBSTITUTE('Special Help Table'!$A983,"and ",""))=0,LEN('Special Help Table'!$A983)-LEN(SUBSTITUTE('Special Help Table'!$A983,";",""))=0),'Special Help Table'!$A983,AND(LEN('Special Help Table'!$A983)-LEN(SUBSTITUTE('Special Help Table'!$A983,",","")=1),LEN('Special Help Table'!$A983)-LEN(SUBSTITUTE('Special Help Table'!$A983," ","")=20),LEN('Special Help Table'!$A983)-LEN(SUBSTITUTE('Special Help Table'!$A983," and",""))=0,LEN('Special Help Table'!$A983)-LEN(SUBSTITUTE('Special Help Table'!$A983,",","",FIND(" ",'Special Help Table'!$A983)+1))=0),RIGHT('Special Help Table'!$A983,LEN('Special Help Table'!$A983)-FIND(", ",'Special Help Table'!$A983))&amp;" "&amp;LEFT('Special Help Table'!$A983,FIND(",",'Special Help Table'!$A983)-1),AND(LEN('Special Help Table'!$A983)-LEN(SUBSTITUTE('Special Help Table'!$A983,"editor",""))=6,LEN('Special Help Table'!$A983)-LEN(SUBSTITUTE('Special Help Table'!$A983,"(",""))=0,LEN('Special Help Table'!$A983)-LEN(SUBSTITUTE('Special Help Table'!$A983,"and",""))=3,LEN('Special Help Table'!$A983)-LEN(SUBSTITUTE('Special Help Table'!$A983,",",""))=1,LEN('Special Help Table'!$A983)-LEN(SUBSTITUTE('Special Help Table'!$A983," ",""))=3),'Special Help Table'!$A983)</f>
        <v>0</v>
      </c>
      <c r="C983" s="4" t="s">
        <v>1683</v>
      </c>
      <c r="D983" s="2"/>
      <c r="E983" s="2" t="s">
        <v>1491</v>
      </c>
      <c r="F983" s="2"/>
      <c r="G983" s="2"/>
      <c r="H983" s="2"/>
      <c r="I983" s="2"/>
      <c r="J983" s="2"/>
      <c r="K983" s="3">
        <v>42019</v>
      </c>
      <c r="L983" s="2"/>
      <c r="M983" s="2"/>
      <c r="N983" s="2" t="s">
        <v>1494</v>
      </c>
    </row>
    <row r="984" spans="1:14" ht="15.75" customHeight="1" x14ac:dyDescent="0.35">
      <c r="A984" s="2"/>
      <c r="B984" s="2" cm="1">
        <f t="array" ref="B984">_xlfn.IFS(AND(LEN('Special Help Table'!$A984)-(LEN(SUBSTITUTE('Special Help Table'!$A984,";","")))=0,LEN('Special Help Table'!$A984)-LEN(SUBSTITUTE('Special Help Table'!$A984,",",""))=1,LEN('Special Help Table'!$A984)-LEN(SUBSTITUTE('Special Help Table'!$A984,"and ",""))=0),MID('Special Help Table'!$A984&amp;" "&amp;'Special Help Table'!$A984,SEARCH(", ",'Special Help Table'!$A984)+1,LEN('Special Help Table'!$A984)),AND(LEN('Special Help Table'!$A984)-(LEN(SUBSTITUTE('Special Help Table'!$A984,";","")))=1,LEN('Special Help Table'!$A984)-LEN(SUBSTITUTE('Special Help Table'!$A984,"and ",""))=0),MID('Special Help Table'!$A984,SEARCH(",",'Special Help Table'!$A984)+1,(SEARCH(";",'Special Help Table'!$A984)-1)-SEARCH(",",'Special Help Table'!$A984))&amp;" "&amp;LEFT('Special Help Table'!$A984,SEARCH(",",'Special Help Table'!$A984)-1)&amp;";"&amp;RIGHT('Special Help Table'!$A984,LEN('Special Help Table'!$A984)-SEARCH(",",'Special Help Table'!$A984,SEARCH(";",'Special Help Table'!$A984)))&amp;" "&amp;MID('Special Help Table'!$A984,SEARCH("; ",'Special Help Table'!$A984)+2,SEARCH(",",'Special Help Table'!$A984,SEARCH(";",'Special Help Table'!$A984))-SEARCH(";",'Special Help Table'!$A984)-2),AND(LEN('Special Help Table'!$A984)-LEN(SUBSTITUTE('Special Help Table'!$A984,"and ",""))=0,LEN('Special Help Table'!$A984)-LEN(SUBSTITUTE('Special Help Table'!$A984,";",""))=0),'Special Help Table'!$A984,AND(LEN('Special Help Table'!$A984)-LEN(SUBSTITUTE('Special Help Table'!$A984,",","")=1),LEN('Special Help Table'!$A984)-LEN(SUBSTITUTE('Special Help Table'!$A984," ","")=20),LEN('Special Help Table'!$A984)-LEN(SUBSTITUTE('Special Help Table'!$A984," and",""))=0,LEN('Special Help Table'!$A984)-LEN(SUBSTITUTE('Special Help Table'!$A984,",","",FIND(" ",'Special Help Table'!$A984)+1))=0),RIGHT('Special Help Table'!$A984,LEN('Special Help Table'!$A984)-FIND(", ",'Special Help Table'!$A984))&amp;" "&amp;LEFT('Special Help Table'!$A984,FIND(",",'Special Help Table'!$A984)-1),AND(LEN('Special Help Table'!$A984)-LEN(SUBSTITUTE('Special Help Table'!$A984,"editor",""))=6,LEN('Special Help Table'!$A984)-LEN(SUBSTITUTE('Special Help Table'!$A984,"(",""))=0,LEN('Special Help Table'!$A984)-LEN(SUBSTITUTE('Special Help Table'!$A984,"and",""))=3,LEN('Special Help Table'!$A984)-LEN(SUBSTITUTE('Special Help Table'!$A984,",",""))=1,LEN('Special Help Table'!$A984)-LEN(SUBSTITUTE('Special Help Table'!$A984," ",""))=3),'Special Help Table'!$A984)</f>
        <v>0</v>
      </c>
      <c r="C984" s="4" t="s">
        <v>1684</v>
      </c>
      <c r="D984" s="2"/>
      <c r="E984" s="2" t="s">
        <v>1491</v>
      </c>
      <c r="F984" s="2"/>
      <c r="G984" s="2"/>
      <c r="H984" s="2"/>
      <c r="I984" s="2"/>
      <c r="J984" s="2"/>
      <c r="K984" s="3">
        <v>42019</v>
      </c>
      <c r="L984" s="2"/>
      <c r="M984" s="2"/>
      <c r="N984" s="2" t="s">
        <v>1494</v>
      </c>
    </row>
    <row r="985" spans="1:14" ht="15.75" customHeight="1" x14ac:dyDescent="0.35">
      <c r="A985" s="2"/>
      <c r="B985" s="2" cm="1">
        <f t="array" ref="B985">_xlfn.IFS(AND(LEN('Special Help Table'!$A985)-(LEN(SUBSTITUTE('Special Help Table'!$A985,";","")))=0,LEN('Special Help Table'!$A985)-LEN(SUBSTITUTE('Special Help Table'!$A985,",",""))=1,LEN('Special Help Table'!$A985)-LEN(SUBSTITUTE('Special Help Table'!$A985,"and ",""))=0),MID('Special Help Table'!$A985&amp;" "&amp;'Special Help Table'!$A985,SEARCH(", ",'Special Help Table'!$A985)+1,LEN('Special Help Table'!$A985)),AND(LEN('Special Help Table'!$A985)-(LEN(SUBSTITUTE('Special Help Table'!$A985,";","")))=1,LEN('Special Help Table'!$A985)-LEN(SUBSTITUTE('Special Help Table'!$A985,"and ",""))=0),MID('Special Help Table'!$A985,SEARCH(",",'Special Help Table'!$A985)+1,(SEARCH(";",'Special Help Table'!$A985)-1)-SEARCH(",",'Special Help Table'!$A985))&amp;" "&amp;LEFT('Special Help Table'!$A985,SEARCH(",",'Special Help Table'!$A985)-1)&amp;";"&amp;RIGHT('Special Help Table'!$A985,LEN('Special Help Table'!$A985)-SEARCH(",",'Special Help Table'!$A985,SEARCH(";",'Special Help Table'!$A985)))&amp;" "&amp;MID('Special Help Table'!$A985,SEARCH("; ",'Special Help Table'!$A985)+2,SEARCH(",",'Special Help Table'!$A985,SEARCH(";",'Special Help Table'!$A985))-SEARCH(";",'Special Help Table'!$A985)-2),AND(LEN('Special Help Table'!$A985)-LEN(SUBSTITUTE('Special Help Table'!$A985,"and ",""))=0,LEN('Special Help Table'!$A985)-LEN(SUBSTITUTE('Special Help Table'!$A985,";",""))=0),'Special Help Table'!$A985,AND(LEN('Special Help Table'!$A985)-LEN(SUBSTITUTE('Special Help Table'!$A985,",","")=1),LEN('Special Help Table'!$A985)-LEN(SUBSTITUTE('Special Help Table'!$A985," ","")=20),LEN('Special Help Table'!$A985)-LEN(SUBSTITUTE('Special Help Table'!$A985," and",""))=0,LEN('Special Help Table'!$A985)-LEN(SUBSTITUTE('Special Help Table'!$A985,",","",FIND(" ",'Special Help Table'!$A985)+1))=0),RIGHT('Special Help Table'!$A985,LEN('Special Help Table'!$A985)-FIND(", ",'Special Help Table'!$A985))&amp;" "&amp;LEFT('Special Help Table'!$A985,FIND(",",'Special Help Table'!$A985)-1),AND(LEN('Special Help Table'!$A985)-LEN(SUBSTITUTE('Special Help Table'!$A985,"editor",""))=6,LEN('Special Help Table'!$A985)-LEN(SUBSTITUTE('Special Help Table'!$A985,"(",""))=0,LEN('Special Help Table'!$A985)-LEN(SUBSTITUTE('Special Help Table'!$A985,"and",""))=3,LEN('Special Help Table'!$A985)-LEN(SUBSTITUTE('Special Help Table'!$A985,",",""))=1,LEN('Special Help Table'!$A985)-LEN(SUBSTITUTE('Special Help Table'!$A985," ",""))=3),'Special Help Table'!$A985)</f>
        <v>0</v>
      </c>
      <c r="C985" s="4" t="s">
        <v>1685</v>
      </c>
      <c r="D985" s="2"/>
      <c r="E985" s="2" t="s">
        <v>1491</v>
      </c>
      <c r="F985" s="2"/>
      <c r="G985" s="2"/>
      <c r="H985" s="2"/>
      <c r="I985" s="2"/>
      <c r="J985" s="2"/>
      <c r="K985" s="3">
        <v>42019</v>
      </c>
      <c r="L985" s="2"/>
      <c r="M985" s="2"/>
      <c r="N985" s="2" t="s">
        <v>1494</v>
      </c>
    </row>
    <row r="986" spans="1:14" ht="15.75" customHeight="1" x14ac:dyDescent="0.35">
      <c r="A986" s="2"/>
      <c r="B986" s="2" cm="1">
        <f t="array" ref="B986">_xlfn.IFS(AND(LEN('Special Help Table'!$A986)-(LEN(SUBSTITUTE('Special Help Table'!$A986,";","")))=0,LEN('Special Help Table'!$A986)-LEN(SUBSTITUTE('Special Help Table'!$A986,",",""))=1,LEN('Special Help Table'!$A986)-LEN(SUBSTITUTE('Special Help Table'!$A986,"and ",""))=0),MID('Special Help Table'!$A986&amp;" "&amp;'Special Help Table'!$A986,SEARCH(", ",'Special Help Table'!$A986)+1,LEN('Special Help Table'!$A986)),AND(LEN('Special Help Table'!$A986)-(LEN(SUBSTITUTE('Special Help Table'!$A986,";","")))=1,LEN('Special Help Table'!$A986)-LEN(SUBSTITUTE('Special Help Table'!$A986,"and ",""))=0),MID('Special Help Table'!$A986,SEARCH(",",'Special Help Table'!$A986)+1,(SEARCH(";",'Special Help Table'!$A986)-1)-SEARCH(",",'Special Help Table'!$A986))&amp;" "&amp;LEFT('Special Help Table'!$A986,SEARCH(",",'Special Help Table'!$A986)-1)&amp;";"&amp;RIGHT('Special Help Table'!$A986,LEN('Special Help Table'!$A986)-SEARCH(",",'Special Help Table'!$A986,SEARCH(";",'Special Help Table'!$A986)))&amp;" "&amp;MID('Special Help Table'!$A986,SEARCH("; ",'Special Help Table'!$A986)+2,SEARCH(",",'Special Help Table'!$A986,SEARCH(";",'Special Help Table'!$A986))-SEARCH(";",'Special Help Table'!$A986)-2),AND(LEN('Special Help Table'!$A986)-LEN(SUBSTITUTE('Special Help Table'!$A986,"and ",""))=0,LEN('Special Help Table'!$A986)-LEN(SUBSTITUTE('Special Help Table'!$A986,";",""))=0),'Special Help Table'!$A986,AND(LEN('Special Help Table'!$A986)-LEN(SUBSTITUTE('Special Help Table'!$A986,",","")=1),LEN('Special Help Table'!$A986)-LEN(SUBSTITUTE('Special Help Table'!$A986," ","")=20),LEN('Special Help Table'!$A986)-LEN(SUBSTITUTE('Special Help Table'!$A986," and",""))=0,LEN('Special Help Table'!$A986)-LEN(SUBSTITUTE('Special Help Table'!$A986,",","",FIND(" ",'Special Help Table'!$A986)+1))=0),RIGHT('Special Help Table'!$A986,LEN('Special Help Table'!$A986)-FIND(", ",'Special Help Table'!$A986))&amp;" "&amp;LEFT('Special Help Table'!$A986,FIND(",",'Special Help Table'!$A986)-1),AND(LEN('Special Help Table'!$A986)-LEN(SUBSTITUTE('Special Help Table'!$A986,"editor",""))=6,LEN('Special Help Table'!$A986)-LEN(SUBSTITUTE('Special Help Table'!$A986,"(",""))=0,LEN('Special Help Table'!$A986)-LEN(SUBSTITUTE('Special Help Table'!$A986,"and",""))=3,LEN('Special Help Table'!$A986)-LEN(SUBSTITUTE('Special Help Table'!$A986,",",""))=1,LEN('Special Help Table'!$A986)-LEN(SUBSTITUTE('Special Help Table'!$A986," ",""))=3),'Special Help Table'!$A986)</f>
        <v>0</v>
      </c>
      <c r="C986" s="4" t="s">
        <v>1686</v>
      </c>
      <c r="D986" s="2"/>
      <c r="E986" s="2" t="s">
        <v>1491</v>
      </c>
      <c r="F986" s="2"/>
      <c r="G986" s="2"/>
      <c r="H986" s="2"/>
      <c r="I986" s="2"/>
      <c r="J986" s="2"/>
      <c r="K986" s="3">
        <v>42019</v>
      </c>
      <c r="L986" s="2"/>
      <c r="M986" s="2"/>
      <c r="N986" s="2" t="s">
        <v>1494</v>
      </c>
    </row>
    <row r="987" spans="1:14" ht="15.75" customHeight="1" x14ac:dyDescent="0.35">
      <c r="A987" s="2"/>
      <c r="B987" s="2" cm="1">
        <f t="array" ref="B987">_xlfn.IFS(AND(LEN('Special Help Table'!$A987)-(LEN(SUBSTITUTE('Special Help Table'!$A987,";","")))=0,LEN('Special Help Table'!$A987)-LEN(SUBSTITUTE('Special Help Table'!$A987,",",""))=1,LEN('Special Help Table'!$A987)-LEN(SUBSTITUTE('Special Help Table'!$A987,"and ",""))=0),MID('Special Help Table'!$A987&amp;" "&amp;'Special Help Table'!$A987,SEARCH(", ",'Special Help Table'!$A987)+1,LEN('Special Help Table'!$A987)),AND(LEN('Special Help Table'!$A987)-(LEN(SUBSTITUTE('Special Help Table'!$A987,";","")))=1,LEN('Special Help Table'!$A987)-LEN(SUBSTITUTE('Special Help Table'!$A987,"and ",""))=0),MID('Special Help Table'!$A987,SEARCH(",",'Special Help Table'!$A987)+1,(SEARCH(";",'Special Help Table'!$A987)-1)-SEARCH(",",'Special Help Table'!$A987))&amp;" "&amp;LEFT('Special Help Table'!$A987,SEARCH(",",'Special Help Table'!$A987)-1)&amp;";"&amp;RIGHT('Special Help Table'!$A987,LEN('Special Help Table'!$A987)-SEARCH(",",'Special Help Table'!$A987,SEARCH(";",'Special Help Table'!$A987)))&amp;" "&amp;MID('Special Help Table'!$A987,SEARCH("; ",'Special Help Table'!$A987)+2,SEARCH(",",'Special Help Table'!$A987,SEARCH(";",'Special Help Table'!$A987))-SEARCH(";",'Special Help Table'!$A987)-2),AND(LEN('Special Help Table'!$A987)-LEN(SUBSTITUTE('Special Help Table'!$A987,"and ",""))=0,LEN('Special Help Table'!$A987)-LEN(SUBSTITUTE('Special Help Table'!$A987,";",""))=0),'Special Help Table'!$A987,AND(LEN('Special Help Table'!$A987)-LEN(SUBSTITUTE('Special Help Table'!$A987,",","")=1),LEN('Special Help Table'!$A987)-LEN(SUBSTITUTE('Special Help Table'!$A987," ","")=20),LEN('Special Help Table'!$A987)-LEN(SUBSTITUTE('Special Help Table'!$A987," and",""))=0,LEN('Special Help Table'!$A987)-LEN(SUBSTITUTE('Special Help Table'!$A987,",","",FIND(" ",'Special Help Table'!$A987)+1))=0),RIGHT('Special Help Table'!$A987,LEN('Special Help Table'!$A987)-FIND(", ",'Special Help Table'!$A987))&amp;" "&amp;LEFT('Special Help Table'!$A987,FIND(",",'Special Help Table'!$A987)-1),AND(LEN('Special Help Table'!$A987)-LEN(SUBSTITUTE('Special Help Table'!$A987,"editor",""))=6,LEN('Special Help Table'!$A987)-LEN(SUBSTITUTE('Special Help Table'!$A987,"(",""))=0,LEN('Special Help Table'!$A987)-LEN(SUBSTITUTE('Special Help Table'!$A987,"and",""))=3,LEN('Special Help Table'!$A987)-LEN(SUBSTITUTE('Special Help Table'!$A987,",",""))=1,LEN('Special Help Table'!$A987)-LEN(SUBSTITUTE('Special Help Table'!$A987," ",""))=3),'Special Help Table'!$A987)</f>
        <v>0</v>
      </c>
      <c r="C987" s="4" t="s">
        <v>1687</v>
      </c>
      <c r="D987" s="2"/>
      <c r="E987" s="2" t="s">
        <v>1491</v>
      </c>
      <c r="F987" s="2"/>
      <c r="G987" s="2"/>
      <c r="H987" s="2"/>
      <c r="I987" s="2"/>
      <c r="J987" s="2"/>
      <c r="K987" s="3">
        <v>42019</v>
      </c>
      <c r="L987" s="2"/>
      <c r="M987" s="2"/>
      <c r="N987" s="2" t="s">
        <v>1494</v>
      </c>
    </row>
    <row r="988" spans="1:14" ht="15.75" customHeight="1" x14ac:dyDescent="0.35">
      <c r="A988" s="2"/>
      <c r="B988" s="2" cm="1">
        <f t="array" ref="B988">_xlfn.IFS(AND(LEN('Special Help Table'!$A988)-(LEN(SUBSTITUTE('Special Help Table'!$A988,";","")))=0,LEN('Special Help Table'!$A988)-LEN(SUBSTITUTE('Special Help Table'!$A988,",",""))=1,LEN('Special Help Table'!$A988)-LEN(SUBSTITUTE('Special Help Table'!$A988,"and ",""))=0),MID('Special Help Table'!$A988&amp;" "&amp;'Special Help Table'!$A988,SEARCH(", ",'Special Help Table'!$A988)+1,LEN('Special Help Table'!$A988)),AND(LEN('Special Help Table'!$A988)-(LEN(SUBSTITUTE('Special Help Table'!$A988,";","")))=1,LEN('Special Help Table'!$A988)-LEN(SUBSTITUTE('Special Help Table'!$A988,"and ",""))=0),MID('Special Help Table'!$A988,SEARCH(",",'Special Help Table'!$A988)+1,(SEARCH(";",'Special Help Table'!$A988)-1)-SEARCH(",",'Special Help Table'!$A988))&amp;" "&amp;LEFT('Special Help Table'!$A988,SEARCH(",",'Special Help Table'!$A988)-1)&amp;";"&amp;RIGHT('Special Help Table'!$A988,LEN('Special Help Table'!$A988)-SEARCH(",",'Special Help Table'!$A988,SEARCH(";",'Special Help Table'!$A988)))&amp;" "&amp;MID('Special Help Table'!$A988,SEARCH("; ",'Special Help Table'!$A988)+2,SEARCH(",",'Special Help Table'!$A988,SEARCH(";",'Special Help Table'!$A988))-SEARCH(";",'Special Help Table'!$A988)-2),AND(LEN('Special Help Table'!$A988)-LEN(SUBSTITUTE('Special Help Table'!$A988,"and ",""))=0,LEN('Special Help Table'!$A988)-LEN(SUBSTITUTE('Special Help Table'!$A988,";",""))=0),'Special Help Table'!$A988,AND(LEN('Special Help Table'!$A988)-LEN(SUBSTITUTE('Special Help Table'!$A988,",","")=1),LEN('Special Help Table'!$A988)-LEN(SUBSTITUTE('Special Help Table'!$A988," ","")=20),LEN('Special Help Table'!$A988)-LEN(SUBSTITUTE('Special Help Table'!$A988," and",""))=0,LEN('Special Help Table'!$A988)-LEN(SUBSTITUTE('Special Help Table'!$A988,",","",FIND(" ",'Special Help Table'!$A988)+1))=0),RIGHT('Special Help Table'!$A988,LEN('Special Help Table'!$A988)-FIND(", ",'Special Help Table'!$A988))&amp;" "&amp;LEFT('Special Help Table'!$A988,FIND(",",'Special Help Table'!$A988)-1),AND(LEN('Special Help Table'!$A988)-LEN(SUBSTITUTE('Special Help Table'!$A988,"editor",""))=6,LEN('Special Help Table'!$A988)-LEN(SUBSTITUTE('Special Help Table'!$A988,"(",""))=0,LEN('Special Help Table'!$A988)-LEN(SUBSTITUTE('Special Help Table'!$A988,"and",""))=3,LEN('Special Help Table'!$A988)-LEN(SUBSTITUTE('Special Help Table'!$A988,",",""))=1,LEN('Special Help Table'!$A988)-LEN(SUBSTITUTE('Special Help Table'!$A988," ",""))=3),'Special Help Table'!$A988)</f>
        <v>0</v>
      </c>
      <c r="C988" s="4" t="s">
        <v>1688</v>
      </c>
      <c r="D988" s="2"/>
      <c r="E988" s="2" t="s">
        <v>1491</v>
      </c>
      <c r="F988" s="2"/>
      <c r="G988" s="2"/>
      <c r="H988" s="2"/>
      <c r="I988" s="2"/>
      <c r="J988" s="2"/>
      <c r="K988" s="3">
        <v>42019</v>
      </c>
      <c r="L988" s="2"/>
      <c r="M988" s="2"/>
      <c r="N988" s="2" t="s">
        <v>1494</v>
      </c>
    </row>
    <row r="989" spans="1:14" ht="15.75" customHeight="1" x14ac:dyDescent="0.35">
      <c r="A989" s="2"/>
      <c r="B989" s="2" cm="1">
        <f t="array" ref="B989">_xlfn.IFS(AND(LEN('Special Help Table'!$A989)-(LEN(SUBSTITUTE('Special Help Table'!$A989,";","")))=0,LEN('Special Help Table'!$A989)-LEN(SUBSTITUTE('Special Help Table'!$A989,",",""))=1,LEN('Special Help Table'!$A989)-LEN(SUBSTITUTE('Special Help Table'!$A989,"and ",""))=0),MID('Special Help Table'!$A989&amp;" "&amp;'Special Help Table'!$A989,SEARCH(", ",'Special Help Table'!$A989)+1,LEN('Special Help Table'!$A989)),AND(LEN('Special Help Table'!$A989)-(LEN(SUBSTITUTE('Special Help Table'!$A989,";","")))=1,LEN('Special Help Table'!$A989)-LEN(SUBSTITUTE('Special Help Table'!$A989,"and ",""))=0),MID('Special Help Table'!$A989,SEARCH(",",'Special Help Table'!$A989)+1,(SEARCH(";",'Special Help Table'!$A989)-1)-SEARCH(",",'Special Help Table'!$A989))&amp;" "&amp;LEFT('Special Help Table'!$A989,SEARCH(",",'Special Help Table'!$A989)-1)&amp;";"&amp;RIGHT('Special Help Table'!$A989,LEN('Special Help Table'!$A989)-SEARCH(",",'Special Help Table'!$A989,SEARCH(";",'Special Help Table'!$A989)))&amp;" "&amp;MID('Special Help Table'!$A989,SEARCH("; ",'Special Help Table'!$A989)+2,SEARCH(",",'Special Help Table'!$A989,SEARCH(";",'Special Help Table'!$A989))-SEARCH(";",'Special Help Table'!$A989)-2),AND(LEN('Special Help Table'!$A989)-LEN(SUBSTITUTE('Special Help Table'!$A989,"and ",""))=0,LEN('Special Help Table'!$A989)-LEN(SUBSTITUTE('Special Help Table'!$A989,";",""))=0),'Special Help Table'!$A989,AND(LEN('Special Help Table'!$A989)-LEN(SUBSTITUTE('Special Help Table'!$A989,",","")=1),LEN('Special Help Table'!$A989)-LEN(SUBSTITUTE('Special Help Table'!$A989," ","")=20),LEN('Special Help Table'!$A989)-LEN(SUBSTITUTE('Special Help Table'!$A989," and",""))=0,LEN('Special Help Table'!$A989)-LEN(SUBSTITUTE('Special Help Table'!$A989,",","",FIND(" ",'Special Help Table'!$A989)+1))=0),RIGHT('Special Help Table'!$A989,LEN('Special Help Table'!$A989)-FIND(", ",'Special Help Table'!$A989))&amp;" "&amp;LEFT('Special Help Table'!$A989,FIND(",",'Special Help Table'!$A989)-1),AND(LEN('Special Help Table'!$A989)-LEN(SUBSTITUTE('Special Help Table'!$A989,"editor",""))=6,LEN('Special Help Table'!$A989)-LEN(SUBSTITUTE('Special Help Table'!$A989,"(",""))=0,LEN('Special Help Table'!$A989)-LEN(SUBSTITUTE('Special Help Table'!$A989,"and",""))=3,LEN('Special Help Table'!$A989)-LEN(SUBSTITUTE('Special Help Table'!$A989,",",""))=1,LEN('Special Help Table'!$A989)-LEN(SUBSTITUTE('Special Help Table'!$A989," ",""))=3),'Special Help Table'!$A989)</f>
        <v>0</v>
      </c>
      <c r="C989" s="4" t="s">
        <v>1689</v>
      </c>
      <c r="D989" s="2"/>
      <c r="E989" s="2" t="s">
        <v>1491</v>
      </c>
      <c r="F989" s="2"/>
      <c r="G989" s="2"/>
      <c r="H989" s="2"/>
      <c r="I989" s="2"/>
      <c r="J989" s="2"/>
      <c r="K989" s="3">
        <v>42966</v>
      </c>
      <c r="L989" s="2"/>
      <c r="M989" s="2"/>
      <c r="N989" s="2" t="s">
        <v>1494</v>
      </c>
    </row>
    <row r="990" spans="1:14" ht="15.75" customHeight="1" x14ac:dyDescent="0.35">
      <c r="A990" s="2"/>
      <c r="B990" s="2" cm="1">
        <f t="array" ref="B990">_xlfn.IFS(AND(LEN('Special Help Table'!$A990)-(LEN(SUBSTITUTE('Special Help Table'!$A990,";","")))=0,LEN('Special Help Table'!$A990)-LEN(SUBSTITUTE('Special Help Table'!$A990,",",""))=1,LEN('Special Help Table'!$A990)-LEN(SUBSTITUTE('Special Help Table'!$A990,"and ",""))=0),MID('Special Help Table'!$A990&amp;" "&amp;'Special Help Table'!$A990,SEARCH(", ",'Special Help Table'!$A990)+1,LEN('Special Help Table'!$A990)),AND(LEN('Special Help Table'!$A990)-(LEN(SUBSTITUTE('Special Help Table'!$A990,";","")))=1,LEN('Special Help Table'!$A990)-LEN(SUBSTITUTE('Special Help Table'!$A990,"and ",""))=0),MID('Special Help Table'!$A990,SEARCH(",",'Special Help Table'!$A990)+1,(SEARCH(";",'Special Help Table'!$A990)-1)-SEARCH(",",'Special Help Table'!$A990))&amp;" "&amp;LEFT('Special Help Table'!$A990,SEARCH(",",'Special Help Table'!$A990)-1)&amp;";"&amp;RIGHT('Special Help Table'!$A990,LEN('Special Help Table'!$A990)-SEARCH(",",'Special Help Table'!$A990,SEARCH(";",'Special Help Table'!$A990)))&amp;" "&amp;MID('Special Help Table'!$A990,SEARCH("; ",'Special Help Table'!$A990)+2,SEARCH(",",'Special Help Table'!$A990,SEARCH(";",'Special Help Table'!$A990))-SEARCH(";",'Special Help Table'!$A990)-2),AND(LEN('Special Help Table'!$A990)-LEN(SUBSTITUTE('Special Help Table'!$A990,"and ",""))=0,LEN('Special Help Table'!$A990)-LEN(SUBSTITUTE('Special Help Table'!$A990,";",""))=0),'Special Help Table'!$A990,AND(LEN('Special Help Table'!$A990)-LEN(SUBSTITUTE('Special Help Table'!$A990,",","")=1),LEN('Special Help Table'!$A990)-LEN(SUBSTITUTE('Special Help Table'!$A990," ","")=20),LEN('Special Help Table'!$A990)-LEN(SUBSTITUTE('Special Help Table'!$A990," and",""))=0,LEN('Special Help Table'!$A990)-LEN(SUBSTITUTE('Special Help Table'!$A990,",","",FIND(" ",'Special Help Table'!$A990)+1))=0),RIGHT('Special Help Table'!$A990,LEN('Special Help Table'!$A990)-FIND(", ",'Special Help Table'!$A990))&amp;" "&amp;LEFT('Special Help Table'!$A990,FIND(",",'Special Help Table'!$A990)-1),AND(LEN('Special Help Table'!$A990)-LEN(SUBSTITUTE('Special Help Table'!$A990,"editor",""))=6,LEN('Special Help Table'!$A990)-LEN(SUBSTITUTE('Special Help Table'!$A990,"(",""))=0,LEN('Special Help Table'!$A990)-LEN(SUBSTITUTE('Special Help Table'!$A990,"and",""))=3,LEN('Special Help Table'!$A990)-LEN(SUBSTITUTE('Special Help Table'!$A990,",",""))=1,LEN('Special Help Table'!$A990)-LEN(SUBSTITUTE('Special Help Table'!$A990," ",""))=3),'Special Help Table'!$A990)</f>
        <v>0</v>
      </c>
      <c r="C990" s="4" t="s">
        <v>1690</v>
      </c>
      <c r="D990" s="2"/>
      <c r="E990" s="2" t="s">
        <v>1491</v>
      </c>
      <c r="F990" s="2"/>
      <c r="G990" s="2"/>
      <c r="H990" s="2"/>
      <c r="I990" s="2"/>
      <c r="J990" s="2"/>
      <c r="K990" s="3">
        <v>42019</v>
      </c>
      <c r="L990" s="2"/>
      <c r="M990" s="2"/>
      <c r="N990" s="2" t="s">
        <v>1494</v>
      </c>
    </row>
    <row r="991" spans="1:14" ht="15.75" customHeight="1" x14ac:dyDescent="0.35">
      <c r="A991" s="2"/>
      <c r="B991" s="2" cm="1">
        <f t="array" ref="B991">_xlfn.IFS(AND(LEN('Special Help Table'!$A991)-(LEN(SUBSTITUTE('Special Help Table'!$A991,";","")))=0,LEN('Special Help Table'!$A991)-LEN(SUBSTITUTE('Special Help Table'!$A991,",",""))=1,LEN('Special Help Table'!$A991)-LEN(SUBSTITUTE('Special Help Table'!$A991,"and ",""))=0),MID('Special Help Table'!$A991&amp;" "&amp;'Special Help Table'!$A991,SEARCH(", ",'Special Help Table'!$A991)+1,LEN('Special Help Table'!$A991)),AND(LEN('Special Help Table'!$A991)-(LEN(SUBSTITUTE('Special Help Table'!$A991,";","")))=1,LEN('Special Help Table'!$A991)-LEN(SUBSTITUTE('Special Help Table'!$A991,"and ",""))=0),MID('Special Help Table'!$A991,SEARCH(",",'Special Help Table'!$A991)+1,(SEARCH(";",'Special Help Table'!$A991)-1)-SEARCH(",",'Special Help Table'!$A991))&amp;" "&amp;LEFT('Special Help Table'!$A991,SEARCH(",",'Special Help Table'!$A991)-1)&amp;";"&amp;RIGHT('Special Help Table'!$A991,LEN('Special Help Table'!$A991)-SEARCH(",",'Special Help Table'!$A991,SEARCH(";",'Special Help Table'!$A991)))&amp;" "&amp;MID('Special Help Table'!$A991,SEARCH("; ",'Special Help Table'!$A991)+2,SEARCH(",",'Special Help Table'!$A991,SEARCH(";",'Special Help Table'!$A991))-SEARCH(";",'Special Help Table'!$A991)-2),AND(LEN('Special Help Table'!$A991)-LEN(SUBSTITUTE('Special Help Table'!$A991,"and ",""))=0,LEN('Special Help Table'!$A991)-LEN(SUBSTITUTE('Special Help Table'!$A991,";",""))=0),'Special Help Table'!$A991,AND(LEN('Special Help Table'!$A991)-LEN(SUBSTITUTE('Special Help Table'!$A991,",","")=1),LEN('Special Help Table'!$A991)-LEN(SUBSTITUTE('Special Help Table'!$A991," ","")=20),LEN('Special Help Table'!$A991)-LEN(SUBSTITUTE('Special Help Table'!$A991," and",""))=0,LEN('Special Help Table'!$A991)-LEN(SUBSTITUTE('Special Help Table'!$A991,",","",FIND(" ",'Special Help Table'!$A991)+1))=0),RIGHT('Special Help Table'!$A991,LEN('Special Help Table'!$A991)-FIND(", ",'Special Help Table'!$A991))&amp;" "&amp;LEFT('Special Help Table'!$A991,FIND(",",'Special Help Table'!$A991)-1),AND(LEN('Special Help Table'!$A991)-LEN(SUBSTITUTE('Special Help Table'!$A991,"editor",""))=6,LEN('Special Help Table'!$A991)-LEN(SUBSTITUTE('Special Help Table'!$A991,"(",""))=0,LEN('Special Help Table'!$A991)-LEN(SUBSTITUTE('Special Help Table'!$A991,"and",""))=3,LEN('Special Help Table'!$A991)-LEN(SUBSTITUTE('Special Help Table'!$A991,",",""))=1,LEN('Special Help Table'!$A991)-LEN(SUBSTITUTE('Special Help Table'!$A991," ",""))=3),'Special Help Table'!$A991)</f>
        <v>0</v>
      </c>
      <c r="C991" s="4" t="s">
        <v>1691</v>
      </c>
      <c r="D991" s="2"/>
      <c r="E991" s="2" t="s">
        <v>1692</v>
      </c>
      <c r="F991" s="2" t="s">
        <v>72</v>
      </c>
      <c r="G991" s="2"/>
      <c r="H991" s="2"/>
      <c r="I991" s="2"/>
      <c r="J991" s="2"/>
      <c r="K991" s="3"/>
      <c r="L991" s="2"/>
      <c r="M991" s="2" t="s">
        <v>1693</v>
      </c>
      <c r="N991" s="2" t="s">
        <v>1694</v>
      </c>
    </row>
    <row r="992" spans="1:14" ht="15.75" customHeight="1" x14ac:dyDescent="0.35">
      <c r="A992" s="2"/>
      <c r="B992" s="2" cm="1">
        <f t="array" ref="B992">_xlfn.IFS(AND(LEN('Special Help Table'!$A992)-(LEN(SUBSTITUTE('Special Help Table'!$A992,";","")))=0,LEN('Special Help Table'!$A992)-LEN(SUBSTITUTE('Special Help Table'!$A992,",",""))=1,LEN('Special Help Table'!$A992)-LEN(SUBSTITUTE('Special Help Table'!$A992,"and ",""))=0),MID('Special Help Table'!$A992&amp;" "&amp;'Special Help Table'!$A992,SEARCH(", ",'Special Help Table'!$A992)+1,LEN('Special Help Table'!$A992)),AND(LEN('Special Help Table'!$A992)-(LEN(SUBSTITUTE('Special Help Table'!$A992,";","")))=1,LEN('Special Help Table'!$A992)-LEN(SUBSTITUTE('Special Help Table'!$A992,"and ",""))=0),MID('Special Help Table'!$A992,SEARCH(",",'Special Help Table'!$A992)+1,(SEARCH(";",'Special Help Table'!$A992)-1)-SEARCH(",",'Special Help Table'!$A992))&amp;" "&amp;LEFT('Special Help Table'!$A992,SEARCH(",",'Special Help Table'!$A992)-1)&amp;";"&amp;RIGHT('Special Help Table'!$A992,LEN('Special Help Table'!$A992)-SEARCH(",",'Special Help Table'!$A992,SEARCH(";",'Special Help Table'!$A992)))&amp;" "&amp;MID('Special Help Table'!$A992,SEARCH("; ",'Special Help Table'!$A992)+2,SEARCH(",",'Special Help Table'!$A992,SEARCH(";",'Special Help Table'!$A992))-SEARCH(";",'Special Help Table'!$A992)-2),AND(LEN('Special Help Table'!$A992)-LEN(SUBSTITUTE('Special Help Table'!$A992,"and ",""))=0,LEN('Special Help Table'!$A992)-LEN(SUBSTITUTE('Special Help Table'!$A992,";",""))=0),'Special Help Table'!$A992,AND(LEN('Special Help Table'!$A992)-LEN(SUBSTITUTE('Special Help Table'!$A992,",","")=1),LEN('Special Help Table'!$A992)-LEN(SUBSTITUTE('Special Help Table'!$A992," ","")=20),LEN('Special Help Table'!$A992)-LEN(SUBSTITUTE('Special Help Table'!$A992," and",""))=0,LEN('Special Help Table'!$A992)-LEN(SUBSTITUTE('Special Help Table'!$A992,",","",FIND(" ",'Special Help Table'!$A992)+1))=0),RIGHT('Special Help Table'!$A992,LEN('Special Help Table'!$A992)-FIND(", ",'Special Help Table'!$A992))&amp;" "&amp;LEFT('Special Help Table'!$A992,FIND(",",'Special Help Table'!$A992)-1),AND(LEN('Special Help Table'!$A992)-LEN(SUBSTITUTE('Special Help Table'!$A992,"editor",""))=6,LEN('Special Help Table'!$A992)-LEN(SUBSTITUTE('Special Help Table'!$A992,"(",""))=0,LEN('Special Help Table'!$A992)-LEN(SUBSTITUTE('Special Help Table'!$A992,"and",""))=3,LEN('Special Help Table'!$A992)-LEN(SUBSTITUTE('Special Help Table'!$A992,",",""))=1,LEN('Special Help Table'!$A992)-LEN(SUBSTITUTE('Special Help Table'!$A992," ",""))=3),'Special Help Table'!$A992)</f>
        <v>0</v>
      </c>
      <c r="C992" s="4" t="s">
        <v>1695</v>
      </c>
      <c r="D992" s="2"/>
      <c r="E992" s="2" t="s">
        <v>1692</v>
      </c>
      <c r="F992" s="2" t="s">
        <v>72</v>
      </c>
      <c r="G992" s="2"/>
      <c r="H992" s="2"/>
      <c r="I992" s="2"/>
      <c r="J992" s="2"/>
      <c r="K992" s="3"/>
      <c r="L992" s="2"/>
      <c r="M992" s="2" t="s">
        <v>1693</v>
      </c>
      <c r="N992" s="2" t="s">
        <v>1694</v>
      </c>
    </row>
    <row r="993" spans="1:14" ht="15.75" customHeight="1" x14ac:dyDescent="0.35">
      <c r="A993" s="2"/>
      <c r="B993" s="2" cm="1">
        <f t="array" ref="B993">_xlfn.IFS(AND(LEN('Special Help Table'!$A993)-(LEN(SUBSTITUTE('Special Help Table'!$A993,";","")))=0,LEN('Special Help Table'!$A993)-LEN(SUBSTITUTE('Special Help Table'!$A993,",",""))=1,LEN('Special Help Table'!$A993)-LEN(SUBSTITUTE('Special Help Table'!$A993,"and ",""))=0),MID('Special Help Table'!$A993&amp;" "&amp;'Special Help Table'!$A993,SEARCH(", ",'Special Help Table'!$A993)+1,LEN('Special Help Table'!$A993)),AND(LEN('Special Help Table'!$A993)-(LEN(SUBSTITUTE('Special Help Table'!$A993,";","")))=1,LEN('Special Help Table'!$A993)-LEN(SUBSTITUTE('Special Help Table'!$A993,"and ",""))=0),MID('Special Help Table'!$A993,SEARCH(",",'Special Help Table'!$A993)+1,(SEARCH(";",'Special Help Table'!$A993)-1)-SEARCH(",",'Special Help Table'!$A993))&amp;" "&amp;LEFT('Special Help Table'!$A993,SEARCH(",",'Special Help Table'!$A993)-1)&amp;";"&amp;RIGHT('Special Help Table'!$A993,LEN('Special Help Table'!$A993)-SEARCH(",",'Special Help Table'!$A993,SEARCH(";",'Special Help Table'!$A993)))&amp;" "&amp;MID('Special Help Table'!$A993,SEARCH("; ",'Special Help Table'!$A993)+2,SEARCH(",",'Special Help Table'!$A993,SEARCH(";",'Special Help Table'!$A993))-SEARCH(";",'Special Help Table'!$A993)-2),AND(LEN('Special Help Table'!$A993)-LEN(SUBSTITUTE('Special Help Table'!$A993,"and ",""))=0,LEN('Special Help Table'!$A993)-LEN(SUBSTITUTE('Special Help Table'!$A993,";",""))=0),'Special Help Table'!$A993,AND(LEN('Special Help Table'!$A993)-LEN(SUBSTITUTE('Special Help Table'!$A993,",","")=1),LEN('Special Help Table'!$A993)-LEN(SUBSTITUTE('Special Help Table'!$A993," ","")=20),LEN('Special Help Table'!$A993)-LEN(SUBSTITUTE('Special Help Table'!$A993," and",""))=0,LEN('Special Help Table'!$A993)-LEN(SUBSTITUTE('Special Help Table'!$A993,",","",FIND(" ",'Special Help Table'!$A993)+1))=0),RIGHT('Special Help Table'!$A993,LEN('Special Help Table'!$A993)-FIND(", ",'Special Help Table'!$A993))&amp;" "&amp;LEFT('Special Help Table'!$A993,FIND(",",'Special Help Table'!$A993)-1),AND(LEN('Special Help Table'!$A993)-LEN(SUBSTITUTE('Special Help Table'!$A993,"editor",""))=6,LEN('Special Help Table'!$A993)-LEN(SUBSTITUTE('Special Help Table'!$A993,"(",""))=0,LEN('Special Help Table'!$A993)-LEN(SUBSTITUTE('Special Help Table'!$A993,"and",""))=3,LEN('Special Help Table'!$A993)-LEN(SUBSTITUTE('Special Help Table'!$A993,",",""))=1,LEN('Special Help Table'!$A993)-LEN(SUBSTITUTE('Special Help Table'!$A993," ",""))=3),'Special Help Table'!$A993)</f>
        <v>0</v>
      </c>
      <c r="C993" s="4" t="s">
        <v>1696</v>
      </c>
      <c r="D993" s="2"/>
      <c r="E993" s="2" t="s">
        <v>1692</v>
      </c>
      <c r="F993" s="2" t="s">
        <v>72</v>
      </c>
      <c r="G993" s="2"/>
      <c r="H993" s="2"/>
      <c r="I993" s="2"/>
      <c r="J993" s="2"/>
      <c r="K993" s="3">
        <v>43040</v>
      </c>
      <c r="L993" s="2"/>
      <c r="M993" s="2" t="s">
        <v>1697</v>
      </c>
      <c r="N993" s="2" t="s">
        <v>1694</v>
      </c>
    </row>
    <row r="994" spans="1:14" ht="15.75" customHeight="1" x14ac:dyDescent="0.35">
      <c r="A994" s="2"/>
      <c r="B994" s="2" cm="1">
        <f t="array" ref="B994">_xlfn.IFS(AND(LEN('Special Help Table'!$A994)-(LEN(SUBSTITUTE('Special Help Table'!$A994,";","")))=0,LEN('Special Help Table'!$A994)-LEN(SUBSTITUTE('Special Help Table'!$A994,",",""))=1,LEN('Special Help Table'!$A994)-LEN(SUBSTITUTE('Special Help Table'!$A994,"and ",""))=0),MID('Special Help Table'!$A994&amp;" "&amp;'Special Help Table'!$A994,SEARCH(", ",'Special Help Table'!$A994)+1,LEN('Special Help Table'!$A994)),AND(LEN('Special Help Table'!$A994)-(LEN(SUBSTITUTE('Special Help Table'!$A994,";","")))=1,LEN('Special Help Table'!$A994)-LEN(SUBSTITUTE('Special Help Table'!$A994,"and ",""))=0),MID('Special Help Table'!$A994,SEARCH(",",'Special Help Table'!$A994)+1,(SEARCH(";",'Special Help Table'!$A994)-1)-SEARCH(",",'Special Help Table'!$A994))&amp;" "&amp;LEFT('Special Help Table'!$A994,SEARCH(",",'Special Help Table'!$A994)-1)&amp;";"&amp;RIGHT('Special Help Table'!$A994,LEN('Special Help Table'!$A994)-SEARCH(",",'Special Help Table'!$A994,SEARCH(";",'Special Help Table'!$A994)))&amp;" "&amp;MID('Special Help Table'!$A994,SEARCH("; ",'Special Help Table'!$A994)+2,SEARCH(",",'Special Help Table'!$A994,SEARCH(";",'Special Help Table'!$A994))-SEARCH(";",'Special Help Table'!$A994)-2),AND(LEN('Special Help Table'!$A994)-LEN(SUBSTITUTE('Special Help Table'!$A994,"and ",""))=0,LEN('Special Help Table'!$A994)-LEN(SUBSTITUTE('Special Help Table'!$A994,";",""))=0),'Special Help Table'!$A994,AND(LEN('Special Help Table'!$A994)-LEN(SUBSTITUTE('Special Help Table'!$A994,",","")=1),LEN('Special Help Table'!$A994)-LEN(SUBSTITUTE('Special Help Table'!$A994," ","")=20),LEN('Special Help Table'!$A994)-LEN(SUBSTITUTE('Special Help Table'!$A994," and",""))=0,LEN('Special Help Table'!$A994)-LEN(SUBSTITUTE('Special Help Table'!$A994,",","",FIND(" ",'Special Help Table'!$A994)+1))=0),RIGHT('Special Help Table'!$A994,LEN('Special Help Table'!$A994)-FIND(", ",'Special Help Table'!$A994))&amp;" "&amp;LEFT('Special Help Table'!$A994,FIND(",",'Special Help Table'!$A994)-1),AND(LEN('Special Help Table'!$A994)-LEN(SUBSTITUTE('Special Help Table'!$A994,"editor",""))=6,LEN('Special Help Table'!$A994)-LEN(SUBSTITUTE('Special Help Table'!$A994,"(",""))=0,LEN('Special Help Table'!$A994)-LEN(SUBSTITUTE('Special Help Table'!$A994,"and",""))=3,LEN('Special Help Table'!$A994)-LEN(SUBSTITUTE('Special Help Table'!$A994,",",""))=1,LEN('Special Help Table'!$A994)-LEN(SUBSTITUTE('Special Help Table'!$A994," ",""))=3),'Special Help Table'!$A994)</f>
        <v>0</v>
      </c>
      <c r="C994" s="4" t="s">
        <v>1698</v>
      </c>
      <c r="D994" s="2"/>
      <c r="E994" s="2" t="s">
        <v>1692</v>
      </c>
      <c r="F994" s="2" t="s">
        <v>72</v>
      </c>
      <c r="G994" s="2"/>
      <c r="H994" s="2"/>
      <c r="I994" s="2"/>
      <c r="J994" s="2"/>
      <c r="K994" s="3">
        <v>43040</v>
      </c>
      <c r="L994" s="2"/>
      <c r="M994" s="2" t="s">
        <v>1697</v>
      </c>
      <c r="N994" s="2" t="s">
        <v>1694</v>
      </c>
    </row>
    <row r="995" spans="1:14" ht="15.75" customHeight="1" x14ac:dyDescent="0.35">
      <c r="A995" s="2"/>
      <c r="B995" s="2" cm="1">
        <f t="array" ref="B995">_xlfn.IFS(AND(LEN('Special Help Table'!$A995)-(LEN(SUBSTITUTE('Special Help Table'!$A995,";","")))=0,LEN('Special Help Table'!$A995)-LEN(SUBSTITUTE('Special Help Table'!$A995,",",""))=1,LEN('Special Help Table'!$A995)-LEN(SUBSTITUTE('Special Help Table'!$A995,"and ",""))=0),MID('Special Help Table'!$A995&amp;" "&amp;'Special Help Table'!$A995,SEARCH(", ",'Special Help Table'!$A995)+1,LEN('Special Help Table'!$A995)),AND(LEN('Special Help Table'!$A995)-(LEN(SUBSTITUTE('Special Help Table'!$A995,";","")))=1,LEN('Special Help Table'!$A995)-LEN(SUBSTITUTE('Special Help Table'!$A995,"and ",""))=0),MID('Special Help Table'!$A995,SEARCH(",",'Special Help Table'!$A995)+1,(SEARCH(";",'Special Help Table'!$A995)-1)-SEARCH(",",'Special Help Table'!$A995))&amp;" "&amp;LEFT('Special Help Table'!$A995,SEARCH(",",'Special Help Table'!$A995)-1)&amp;";"&amp;RIGHT('Special Help Table'!$A995,LEN('Special Help Table'!$A995)-SEARCH(",",'Special Help Table'!$A995,SEARCH(";",'Special Help Table'!$A995)))&amp;" "&amp;MID('Special Help Table'!$A995,SEARCH("; ",'Special Help Table'!$A995)+2,SEARCH(",",'Special Help Table'!$A995,SEARCH(";",'Special Help Table'!$A995))-SEARCH(";",'Special Help Table'!$A995)-2),AND(LEN('Special Help Table'!$A995)-LEN(SUBSTITUTE('Special Help Table'!$A995,"and ",""))=0,LEN('Special Help Table'!$A995)-LEN(SUBSTITUTE('Special Help Table'!$A995,";",""))=0),'Special Help Table'!$A995,AND(LEN('Special Help Table'!$A995)-LEN(SUBSTITUTE('Special Help Table'!$A995,",","")=1),LEN('Special Help Table'!$A995)-LEN(SUBSTITUTE('Special Help Table'!$A995," ","")=20),LEN('Special Help Table'!$A995)-LEN(SUBSTITUTE('Special Help Table'!$A995," and",""))=0,LEN('Special Help Table'!$A995)-LEN(SUBSTITUTE('Special Help Table'!$A995,",","",FIND(" ",'Special Help Table'!$A995)+1))=0),RIGHT('Special Help Table'!$A995,LEN('Special Help Table'!$A995)-FIND(", ",'Special Help Table'!$A995))&amp;" "&amp;LEFT('Special Help Table'!$A995,FIND(",",'Special Help Table'!$A995)-1),AND(LEN('Special Help Table'!$A995)-LEN(SUBSTITUTE('Special Help Table'!$A995,"editor",""))=6,LEN('Special Help Table'!$A995)-LEN(SUBSTITUTE('Special Help Table'!$A995,"(",""))=0,LEN('Special Help Table'!$A995)-LEN(SUBSTITUTE('Special Help Table'!$A995,"and",""))=3,LEN('Special Help Table'!$A995)-LEN(SUBSTITUTE('Special Help Table'!$A995,",",""))=1,LEN('Special Help Table'!$A995)-LEN(SUBSTITUTE('Special Help Table'!$A995," ",""))=3),'Special Help Table'!$A995)</f>
        <v>0</v>
      </c>
      <c r="C995" s="4" t="s">
        <v>1699</v>
      </c>
      <c r="D995" s="2"/>
      <c r="E995" s="2" t="s">
        <v>1692</v>
      </c>
      <c r="F995" s="2" t="s">
        <v>72</v>
      </c>
      <c r="G995" s="2"/>
      <c r="H995" s="2"/>
      <c r="I995" s="2"/>
      <c r="J995" s="2"/>
      <c r="K995" s="3">
        <v>43040</v>
      </c>
      <c r="L995" s="2"/>
      <c r="M995" s="2" t="s">
        <v>1697</v>
      </c>
      <c r="N995" s="2" t="s">
        <v>1694</v>
      </c>
    </row>
    <row r="996" spans="1:14" ht="15.75" customHeight="1" x14ac:dyDescent="0.35">
      <c r="A996" s="2"/>
      <c r="B996" s="2" cm="1">
        <f t="array" ref="B996">_xlfn.IFS(AND(LEN('Special Help Table'!$A996)-(LEN(SUBSTITUTE('Special Help Table'!$A996,";","")))=0,LEN('Special Help Table'!$A996)-LEN(SUBSTITUTE('Special Help Table'!$A996,",",""))=1,LEN('Special Help Table'!$A996)-LEN(SUBSTITUTE('Special Help Table'!$A996,"and ",""))=0),MID('Special Help Table'!$A996&amp;" "&amp;'Special Help Table'!$A996,SEARCH(", ",'Special Help Table'!$A996)+1,LEN('Special Help Table'!$A996)),AND(LEN('Special Help Table'!$A996)-(LEN(SUBSTITUTE('Special Help Table'!$A996,";","")))=1,LEN('Special Help Table'!$A996)-LEN(SUBSTITUTE('Special Help Table'!$A996,"and ",""))=0),MID('Special Help Table'!$A996,SEARCH(",",'Special Help Table'!$A996)+1,(SEARCH(";",'Special Help Table'!$A996)-1)-SEARCH(",",'Special Help Table'!$A996))&amp;" "&amp;LEFT('Special Help Table'!$A996,SEARCH(",",'Special Help Table'!$A996)-1)&amp;";"&amp;RIGHT('Special Help Table'!$A996,LEN('Special Help Table'!$A996)-SEARCH(",",'Special Help Table'!$A996,SEARCH(";",'Special Help Table'!$A996)))&amp;" "&amp;MID('Special Help Table'!$A996,SEARCH("; ",'Special Help Table'!$A996)+2,SEARCH(",",'Special Help Table'!$A996,SEARCH(";",'Special Help Table'!$A996))-SEARCH(";",'Special Help Table'!$A996)-2),AND(LEN('Special Help Table'!$A996)-LEN(SUBSTITUTE('Special Help Table'!$A996,"and ",""))=0,LEN('Special Help Table'!$A996)-LEN(SUBSTITUTE('Special Help Table'!$A996,";",""))=0),'Special Help Table'!$A996,AND(LEN('Special Help Table'!$A996)-LEN(SUBSTITUTE('Special Help Table'!$A996,",","")=1),LEN('Special Help Table'!$A996)-LEN(SUBSTITUTE('Special Help Table'!$A996," ","")=20),LEN('Special Help Table'!$A996)-LEN(SUBSTITUTE('Special Help Table'!$A996," and",""))=0,LEN('Special Help Table'!$A996)-LEN(SUBSTITUTE('Special Help Table'!$A996,",","",FIND(" ",'Special Help Table'!$A996)+1))=0),RIGHT('Special Help Table'!$A996,LEN('Special Help Table'!$A996)-FIND(", ",'Special Help Table'!$A996))&amp;" "&amp;LEFT('Special Help Table'!$A996,FIND(",",'Special Help Table'!$A996)-1),AND(LEN('Special Help Table'!$A996)-LEN(SUBSTITUTE('Special Help Table'!$A996,"editor",""))=6,LEN('Special Help Table'!$A996)-LEN(SUBSTITUTE('Special Help Table'!$A996,"(",""))=0,LEN('Special Help Table'!$A996)-LEN(SUBSTITUTE('Special Help Table'!$A996,"and",""))=3,LEN('Special Help Table'!$A996)-LEN(SUBSTITUTE('Special Help Table'!$A996,",",""))=1,LEN('Special Help Table'!$A996)-LEN(SUBSTITUTE('Special Help Table'!$A996," ",""))=3),'Special Help Table'!$A996)</f>
        <v>0</v>
      </c>
      <c r="C996" s="4" t="s">
        <v>1700</v>
      </c>
      <c r="D996" s="2"/>
      <c r="E996" s="2" t="s">
        <v>1692</v>
      </c>
      <c r="F996" s="2" t="s">
        <v>72</v>
      </c>
      <c r="G996" s="2"/>
      <c r="H996" s="2"/>
      <c r="I996" s="2"/>
      <c r="J996" s="2"/>
      <c r="K996" s="3">
        <v>43040</v>
      </c>
      <c r="L996" s="2" t="s">
        <v>1701</v>
      </c>
      <c r="M996" s="2" t="s">
        <v>1697</v>
      </c>
      <c r="N996" s="2" t="s">
        <v>1694</v>
      </c>
    </row>
    <row r="997" spans="1:14" ht="15.75" customHeight="1" x14ac:dyDescent="0.35">
      <c r="A997" s="2"/>
      <c r="B997" s="2" cm="1">
        <f t="array" ref="B997">_xlfn.IFS(AND(LEN('Special Help Table'!$A997)-(LEN(SUBSTITUTE('Special Help Table'!$A997,";","")))=0,LEN('Special Help Table'!$A997)-LEN(SUBSTITUTE('Special Help Table'!$A997,",",""))=1,LEN('Special Help Table'!$A997)-LEN(SUBSTITUTE('Special Help Table'!$A997,"and ",""))=0),MID('Special Help Table'!$A997&amp;" "&amp;'Special Help Table'!$A997,SEARCH(", ",'Special Help Table'!$A997)+1,LEN('Special Help Table'!$A997)),AND(LEN('Special Help Table'!$A997)-(LEN(SUBSTITUTE('Special Help Table'!$A997,";","")))=1,LEN('Special Help Table'!$A997)-LEN(SUBSTITUTE('Special Help Table'!$A997,"and ",""))=0),MID('Special Help Table'!$A997,SEARCH(",",'Special Help Table'!$A997)+1,(SEARCH(";",'Special Help Table'!$A997)-1)-SEARCH(",",'Special Help Table'!$A997))&amp;" "&amp;LEFT('Special Help Table'!$A997,SEARCH(",",'Special Help Table'!$A997)-1)&amp;";"&amp;RIGHT('Special Help Table'!$A997,LEN('Special Help Table'!$A997)-SEARCH(",",'Special Help Table'!$A997,SEARCH(";",'Special Help Table'!$A997)))&amp;" "&amp;MID('Special Help Table'!$A997,SEARCH("; ",'Special Help Table'!$A997)+2,SEARCH(",",'Special Help Table'!$A997,SEARCH(";",'Special Help Table'!$A997))-SEARCH(";",'Special Help Table'!$A997)-2),AND(LEN('Special Help Table'!$A997)-LEN(SUBSTITUTE('Special Help Table'!$A997,"and ",""))=0,LEN('Special Help Table'!$A997)-LEN(SUBSTITUTE('Special Help Table'!$A997,";",""))=0),'Special Help Table'!$A997,AND(LEN('Special Help Table'!$A997)-LEN(SUBSTITUTE('Special Help Table'!$A997,",","")=1),LEN('Special Help Table'!$A997)-LEN(SUBSTITUTE('Special Help Table'!$A997," ","")=20),LEN('Special Help Table'!$A997)-LEN(SUBSTITUTE('Special Help Table'!$A997," and",""))=0,LEN('Special Help Table'!$A997)-LEN(SUBSTITUTE('Special Help Table'!$A997,",","",FIND(" ",'Special Help Table'!$A997)+1))=0),RIGHT('Special Help Table'!$A997,LEN('Special Help Table'!$A997)-FIND(", ",'Special Help Table'!$A997))&amp;" "&amp;LEFT('Special Help Table'!$A997,FIND(",",'Special Help Table'!$A997)-1),AND(LEN('Special Help Table'!$A997)-LEN(SUBSTITUTE('Special Help Table'!$A997,"editor",""))=6,LEN('Special Help Table'!$A997)-LEN(SUBSTITUTE('Special Help Table'!$A997,"(",""))=0,LEN('Special Help Table'!$A997)-LEN(SUBSTITUTE('Special Help Table'!$A997,"and",""))=3,LEN('Special Help Table'!$A997)-LEN(SUBSTITUTE('Special Help Table'!$A997,",",""))=1,LEN('Special Help Table'!$A997)-LEN(SUBSTITUTE('Special Help Table'!$A997," ",""))=3),'Special Help Table'!$A997)</f>
        <v>0</v>
      </c>
      <c r="C997" s="4" t="s">
        <v>1702</v>
      </c>
      <c r="D997" s="2"/>
      <c r="E997" s="2" t="s">
        <v>1692</v>
      </c>
      <c r="F997" s="2" t="s">
        <v>72</v>
      </c>
      <c r="G997" s="2"/>
      <c r="H997" s="2"/>
      <c r="I997" s="2"/>
      <c r="J997" s="2"/>
      <c r="K997" s="3">
        <v>43040</v>
      </c>
      <c r="L997" s="2"/>
      <c r="M997" s="2" t="s">
        <v>1697</v>
      </c>
      <c r="N997" s="2" t="s">
        <v>1694</v>
      </c>
    </row>
    <row r="998" spans="1:14" ht="15.75" customHeight="1" x14ac:dyDescent="0.35">
      <c r="A998" s="2"/>
      <c r="B998" s="2" cm="1">
        <f t="array" ref="B998">_xlfn.IFS(AND(LEN('Special Help Table'!$A998)-(LEN(SUBSTITUTE('Special Help Table'!$A998,";","")))=0,LEN('Special Help Table'!$A998)-LEN(SUBSTITUTE('Special Help Table'!$A998,",",""))=1,LEN('Special Help Table'!$A998)-LEN(SUBSTITUTE('Special Help Table'!$A998,"and ",""))=0),MID('Special Help Table'!$A998&amp;" "&amp;'Special Help Table'!$A998,SEARCH(", ",'Special Help Table'!$A998)+1,LEN('Special Help Table'!$A998)),AND(LEN('Special Help Table'!$A998)-(LEN(SUBSTITUTE('Special Help Table'!$A998,";","")))=1,LEN('Special Help Table'!$A998)-LEN(SUBSTITUTE('Special Help Table'!$A998,"and ",""))=0),MID('Special Help Table'!$A998,SEARCH(",",'Special Help Table'!$A998)+1,(SEARCH(";",'Special Help Table'!$A998)-1)-SEARCH(",",'Special Help Table'!$A998))&amp;" "&amp;LEFT('Special Help Table'!$A998,SEARCH(",",'Special Help Table'!$A998)-1)&amp;";"&amp;RIGHT('Special Help Table'!$A998,LEN('Special Help Table'!$A998)-SEARCH(",",'Special Help Table'!$A998,SEARCH(";",'Special Help Table'!$A998)))&amp;" "&amp;MID('Special Help Table'!$A998,SEARCH("; ",'Special Help Table'!$A998)+2,SEARCH(",",'Special Help Table'!$A998,SEARCH(";",'Special Help Table'!$A998))-SEARCH(";",'Special Help Table'!$A998)-2),AND(LEN('Special Help Table'!$A998)-LEN(SUBSTITUTE('Special Help Table'!$A998,"and ",""))=0,LEN('Special Help Table'!$A998)-LEN(SUBSTITUTE('Special Help Table'!$A998,";",""))=0),'Special Help Table'!$A998,AND(LEN('Special Help Table'!$A998)-LEN(SUBSTITUTE('Special Help Table'!$A998,",","")=1),LEN('Special Help Table'!$A998)-LEN(SUBSTITUTE('Special Help Table'!$A998," ","")=20),LEN('Special Help Table'!$A998)-LEN(SUBSTITUTE('Special Help Table'!$A998," and",""))=0,LEN('Special Help Table'!$A998)-LEN(SUBSTITUTE('Special Help Table'!$A998,",","",FIND(" ",'Special Help Table'!$A998)+1))=0),RIGHT('Special Help Table'!$A998,LEN('Special Help Table'!$A998)-FIND(", ",'Special Help Table'!$A998))&amp;" "&amp;LEFT('Special Help Table'!$A998,FIND(",",'Special Help Table'!$A998)-1),AND(LEN('Special Help Table'!$A998)-LEN(SUBSTITUTE('Special Help Table'!$A998,"editor",""))=6,LEN('Special Help Table'!$A998)-LEN(SUBSTITUTE('Special Help Table'!$A998,"(",""))=0,LEN('Special Help Table'!$A998)-LEN(SUBSTITUTE('Special Help Table'!$A998,"and",""))=3,LEN('Special Help Table'!$A998)-LEN(SUBSTITUTE('Special Help Table'!$A998,",",""))=1,LEN('Special Help Table'!$A998)-LEN(SUBSTITUTE('Special Help Table'!$A998," ",""))=3),'Special Help Table'!$A998)</f>
        <v>0</v>
      </c>
      <c r="C998" s="4" t="s">
        <v>1703</v>
      </c>
      <c r="D998" s="2"/>
      <c r="E998" s="2" t="s">
        <v>1692</v>
      </c>
      <c r="F998" s="2" t="s">
        <v>72</v>
      </c>
      <c r="G998" s="2"/>
      <c r="H998" s="2"/>
      <c r="I998" s="2"/>
      <c r="J998" s="2"/>
      <c r="K998" s="3">
        <v>43040</v>
      </c>
      <c r="L998" s="2"/>
      <c r="M998" s="2" t="s">
        <v>1697</v>
      </c>
      <c r="N998" s="2" t="s">
        <v>1694</v>
      </c>
    </row>
    <row r="999" spans="1:14" ht="15.75" customHeight="1" x14ac:dyDescent="0.35">
      <c r="A999" s="2"/>
      <c r="B999" s="2" cm="1">
        <f t="array" ref="B999">_xlfn.IFS(AND(LEN('Special Help Table'!$A999)-(LEN(SUBSTITUTE('Special Help Table'!$A999,";","")))=0,LEN('Special Help Table'!$A999)-LEN(SUBSTITUTE('Special Help Table'!$A999,",",""))=1,LEN('Special Help Table'!$A999)-LEN(SUBSTITUTE('Special Help Table'!$A999,"and ",""))=0),MID('Special Help Table'!$A999&amp;" "&amp;'Special Help Table'!$A999,SEARCH(", ",'Special Help Table'!$A999)+1,LEN('Special Help Table'!$A999)),AND(LEN('Special Help Table'!$A999)-(LEN(SUBSTITUTE('Special Help Table'!$A999,";","")))=1,LEN('Special Help Table'!$A999)-LEN(SUBSTITUTE('Special Help Table'!$A999,"and ",""))=0),MID('Special Help Table'!$A999,SEARCH(",",'Special Help Table'!$A999)+1,(SEARCH(";",'Special Help Table'!$A999)-1)-SEARCH(",",'Special Help Table'!$A999))&amp;" "&amp;LEFT('Special Help Table'!$A999,SEARCH(",",'Special Help Table'!$A999)-1)&amp;";"&amp;RIGHT('Special Help Table'!$A999,LEN('Special Help Table'!$A999)-SEARCH(",",'Special Help Table'!$A999,SEARCH(";",'Special Help Table'!$A999)))&amp;" "&amp;MID('Special Help Table'!$A999,SEARCH("; ",'Special Help Table'!$A999)+2,SEARCH(",",'Special Help Table'!$A999,SEARCH(";",'Special Help Table'!$A999))-SEARCH(";",'Special Help Table'!$A999)-2),AND(LEN('Special Help Table'!$A999)-LEN(SUBSTITUTE('Special Help Table'!$A999,"and ",""))=0,LEN('Special Help Table'!$A999)-LEN(SUBSTITUTE('Special Help Table'!$A999,";",""))=0),'Special Help Table'!$A999,AND(LEN('Special Help Table'!$A999)-LEN(SUBSTITUTE('Special Help Table'!$A999,",","")=1),LEN('Special Help Table'!$A999)-LEN(SUBSTITUTE('Special Help Table'!$A999," ","")=20),LEN('Special Help Table'!$A999)-LEN(SUBSTITUTE('Special Help Table'!$A999," and",""))=0,LEN('Special Help Table'!$A999)-LEN(SUBSTITUTE('Special Help Table'!$A999,",","",FIND(" ",'Special Help Table'!$A999)+1))=0),RIGHT('Special Help Table'!$A999,LEN('Special Help Table'!$A999)-FIND(", ",'Special Help Table'!$A999))&amp;" "&amp;LEFT('Special Help Table'!$A999,FIND(",",'Special Help Table'!$A999)-1),AND(LEN('Special Help Table'!$A999)-LEN(SUBSTITUTE('Special Help Table'!$A999,"editor",""))=6,LEN('Special Help Table'!$A999)-LEN(SUBSTITUTE('Special Help Table'!$A999,"(",""))=0,LEN('Special Help Table'!$A999)-LEN(SUBSTITUTE('Special Help Table'!$A999,"and",""))=3,LEN('Special Help Table'!$A999)-LEN(SUBSTITUTE('Special Help Table'!$A999,",",""))=1,LEN('Special Help Table'!$A999)-LEN(SUBSTITUTE('Special Help Table'!$A999," ",""))=3),'Special Help Table'!$A999)</f>
        <v>0</v>
      </c>
      <c r="C999" s="4" t="s">
        <v>1704</v>
      </c>
      <c r="D999" s="2"/>
      <c r="E999" s="2" t="s">
        <v>1692</v>
      </c>
      <c r="F999" s="2" t="s">
        <v>72</v>
      </c>
      <c r="G999" s="2"/>
      <c r="H999" s="2"/>
      <c r="I999" s="2"/>
      <c r="J999" s="2"/>
      <c r="K999" s="3">
        <v>43040</v>
      </c>
      <c r="L999" s="2"/>
      <c r="M999" s="2" t="s">
        <v>1697</v>
      </c>
      <c r="N999" s="2" t="s">
        <v>1694</v>
      </c>
    </row>
    <row r="1000" spans="1:14" ht="15.75" customHeight="1" x14ac:dyDescent="0.35">
      <c r="A1000" s="2"/>
      <c r="B1000" s="2" cm="1">
        <f t="array" ref="B1000">_xlfn.IFS(AND(LEN('Special Help Table'!$A1000)-(LEN(SUBSTITUTE('Special Help Table'!$A1000,";","")))=0,LEN('Special Help Table'!$A1000)-LEN(SUBSTITUTE('Special Help Table'!$A1000,",",""))=1,LEN('Special Help Table'!$A1000)-LEN(SUBSTITUTE('Special Help Table'!$A1000,"and ",""))=0),MID('Special Help Table'!$A1000&amp;" "&amp;'Special Help Table'!$A1000,SEARCH(", ",'Special Help Table'!$A1000)+1,LEN('Special Help Table'!$A1000)),AND(LEN('Special Help Table'!$A1000)-(LEN(SUBSTITUTE('Special Help Table'!$A1000,";","")))=1,LEN('Special Help Table'!$A1000)-LEN(SUBSTITUTE('Special Help Table'!$A1000,"and ",""))=0),MID('Special Help Table'!$A1000,SEARCH(",",'Special Help Table'!$A1000)+1,(SEARCH(";",'Special Help Table'!$A1000)-1)-SEARCH(",",'Special Help Table'!$A1000))&amp;" "&amp;LEFT('Special Help Table'!$A1000,SEARCH(",",'Special Help Table'!$A1000)-1)&amp;";"&amp;RIGHT('Special Help Table'!$A1000,LEN('Special Help Table'!$A1000)-SEARCH(",",'Special Help Table'!$A1000,SEARCH(";",'Special Help Table'!$A1000)))&amp;" "&amp;MID('Special Help Table'!$A1000,SEARCH("; ",'Special Help Table'!$A1000)+2,SEARCH(",",'Special Help Table'!$A1000,SEARCH(";",'Special Help Table'!$A1000))-SEARCH(";",'Special Help Table'!$A1000)-2),AND(LEN('Special Help Table'!$A1000)-LEN(SUBSTITUTE('Special Help Table'!$A1000,"and ",""))=0,LEN('Special Help Table'!$A1000)-LEN(SUBSTITUTE('Special Help Table'!$A1000,";",""))=0),'Special Help Table'!$A1000,AND(LEN('Special Help Table'!$A1000)-LEN(SUBSTITUTE('Special Help Table'!$A1000,",","")=1),LEN('Special Help Table'!$A1000)-LEN(SUBSTITUTE('Special Help Table'!$A1000," ","")=20),LEN('Special Help Table'!$A1000)-LEN(SUBSTITUTE('Special Help Table'!$A1000," and",""))=0,LEN('Special Help Table'!$A1000)-LEN(SUBSTITUTE('Special Help Table'!$A1000,",","",FIND(" ",'Special Help Table'!$A1000)+1))=0),RIGHT('Special Help Table'!$A1000,LEN('Special Help Table'!$A1000)-FIND(", ",'Special Help Table'!$A1000))&amp;" "&amp;LEFT('Special Help Table'!$A1000,FIND(",",'Special Help Table'!$A1000)-1),AND(LEN('Special Help Table'!$A1000)-LEN(SUBSTITUTE('Special Help Table'!$A1000,"editor",""))=6,LEN('Special Help Table'!$A1000)-LEN(SUBSTITUTE('Special Help Table'!$A1000,"(",""))=0,LEN('Special Help Table'!$A1000)-LEN(SUBSTITUTE('Special Help Table'!$A1000,"and",""))=3,LEN('Special Help Table'!$A1000)-LEN(SUBSTITUTE('Special Help Table'!$A1000,",",""))=1,LEN('Special Help Table'!$A1000)-LEN(SUBSTITUTE('Special Help Table'!$A1000," ",""))=3),'Special Help Table'!$A1000)</f>
        <v>0</v>
      </c>
      <c r="C1000" s="4" t="s">
        <v>1705</v>
      </c>
      <c r="D1000" s="2"/>
      <c r="E1000" s="2" t="s">
        <v>1692</v>
      </c>
      <c r="F1000" s="2" t="s">
        <v>72</v>
      </c>
      <c r="G1000" s="2"/>
      <c r="H1000" s="2"/>
      <c r="I1000" s="2"/>
      <c r="J1000" s="2"/>
      <c r="K1000" s="3">
        <v>41712</v>
      </c>
      <c r="L1000" s="2"/>
      <c r="M1000" s="2" t="s">
        <v>1255</v>
      </c>
      <c r="N1000" s="2" t="s">
        <v>1694</v>
      </c>
    </row>
    <row r="1001" spans="1:14" ht="15.75" customHeight="1" x14ac:dyDescent="0.35">
      <c r="A1001" s="2"/>
      <c r="B1001" s="2" cm="1">
        <f t="array" ref="B1001">_xlfn.IFS(AND(LEN('Special Help Table'!$A1001)-(LEN(SUBSTITUTE('Special Help Table'!$A1001,";","")))=0,LEN('Special Help Table'!$A1001)-LEN(SUBSTITUTE('Special Help Table'!$A1001,",",""))=1,LEN('Special Help Table'!$A1001)-LEN(SUBSTITUTE('Special Help Table'!$A1001,"and ",""))=0),MID('Special Help Table'!$A1001&amp;" "&amp;'Special Help Table'!$A1001,SEARCH(", ",'Special Help Table'!$A1001)+1,LEN('Special Help Table'!$A1001)),AND(LEN('Special Help Table'!$A1001)-(LEN(SUBSTITUTE('Special Help Table'!$A1001,";","")))=1,LEN('Special Help Table'!$A1001)-LEN(SUBSTITUTE('Special Help Table'!$A1001,"and ",""))=0),MID('Special Help Table'!$A1001,SEARCH(",",'Special Help Table'!$A1001)+1,(SEARCH(";",'Special Help Table'!$A1001)-1)-SEARCH(",",'Special Help Table'!$A1001))&amp;" "&amp;LEFT('Special Help Table'!$A1001,SEARCH(",",'Special Help Table'!$A1001)-1)&amp;";"&amp;RIGHT('Special Help Table'!$A1001,LEN('Special Help Table'!$A1001)-SEARCH(",",'Special Help Table'!$A1001,SEARCH(";",'Special Help Table'!$A1001)))&amp;" "&amp;MID('Special Help Table'!$A1001,SEARCH("; ",'Special Help Table'!$A1001)+2,SEARCH(",",'Special Help Table'!$A1001,SEARCH(";",'Special Help Table'!$A1001))-SEARCH(";",'Special Help Table'!$A1001)-2),AND(LEN('Special Help Table'!$A1001)-LEN(SUBSTITUTE('Special Help Table'!$A1001,"and ",""))=0,LEN('Special Help Table'!$A1001)-LEN(SUBSTITUTE('Special Help Table'!$A1001,";",""))=0),'Special Help Table'!$A1001,AND(LEN('Special Help Table'!$A1001)-LEN(SUBSTITUTE('Special Help Table'!$A1001,",","")=1),LEN('Special Help Table'!$A1001)-LEN(SUBSTITUTE('Special Help Table'!$A1001," ","")=20),LEN('Special Help Table'!$A1001)-LEN(SUBSTITUTE('Special Help Table'!$A1001," and",""))=0,LEN('Special Help Table'!$A1001)-LEN(SUBSTITUTE('Special Help Table'!$A1001,",","",FIND(" ",'Special Help Table'!$A1001)+1))=0),RIGHT('Special Help Table'!$A1001,LEN('Special Help Table'!$A1001)-FIND(", ",'Special Help Table'!$A1001))&amp;" "&amp;LEFT('Special Help Table'!$A1001,FIND(",",'Special Help Table'!$A1001)-1),AND(LEN('Special Help Table'!$A1001)-LEN(SUBSTITUTE('Special Help Table'!$A1001,"editor",""))=6,LEN('Special Help Table'!$A1001)-LEN(SUBSTITUTE('Special Help Table'!$A1001,"(",""))=0,LEN('Special Help Table'!$A1001)-LEN(SUBSTITUTE('Special Help Table'!$A1001,"and",""))=3,LEN('Special Help Table'!$A1001)-LEN(SUBSTITUTE('Special Help Table'!$A1001,",",""))=1,LEN('Special Help Table'!$A1001)-LEN(SUBSTITUTE('Special Help Table'!$A1001," ",""))=3),'Special Help Table'!$A1001)</f>
        <v>0</v>
      </c>
      <c r="C1001" s="4" t="s">
        <v>1706</v>
      </c>
      <c r="D1001" s="2"/>
      <c r="E1001" s="2" t="s">
        <v>1692</v>
      </c>
      <c r="F1001" s="2" t="s">
        <v>72</v>
      </c>
      <c r="G1001" s="2"/>
      <c r="H1001" s="2"/>
      <c r="I1001" s="2"/>
      <c r="J1001" s="2"/>
      <c r="K1001" s="3">
        <v>43023</v>
      </c>
      <c r="L1001" s="2"/>
      <c r="M1001" s="2"/>
      <c r="N1001" s="2" t="s">
        <v>1694</v>
      </c>
    </row>
    <row r="1002" spans="1:14" ht="15.75" customHeight="1" x14ac:dyDescent="0.35">
      <c r="A1002" s="2"/>
      <c r="B1002" s="2" cm="1">
        <f t="array" ref="B1002">_xlfn.IFS(AND(LEN('Special Help Table'!$A1002)-(LEN(SUBSTITUTE('Special Help Table'!$A1002,";","")))=0,LEN('Special Help Table'!$A1002)-LEN(SUBSTITUTE('Special Help Table'!$A1002,",",""))=1,LEN('Special Help Table'!$A1002)-LEN(SUBSTITUTE('Special Help Table'!$A1002,"and ",""))=0),MID('Special Help Table'!$A1002&amp;" "&amp;'Special Help Table'!$A1002,SEARCH(", ",'Special Help Table'!$A1002)+1,LEN('Special Help Table'!$A1002)),AND(LEN('Special Help Table'!$A1002)-(LEN(SUBSTITUTE('Special Help Table'!$A1002,";","")))=1,LEN('Special Help Table'!$A1002)-LEN(SUBSTITUTE('Special Help Table'!$A1002,"and ",""))=0),MID('Special Help Table'!$A1002,SEARCH(",",'Special Help Table'!$A1002)+1,(SEARCH(";",'Special Help Table'!$A1002)-1)-SEARCH(",",'Special Help Table'!$A1002))&amp;" "&amp;LEFT('Special Help Table'!$A1002,SEARCH(",",'Special Help Table'!$A1002)-1)&amp;";"&amp;RIGHT('Special Help Table'!$A1002,LEN('Special Help Table'!$A1002)-SEARCH(",",'Special Help Table'!$A1002,SEARCH(";",'Special Help Table'!$A1002)))&amp;" "&amp;MID('Special Help Table'!$A1002,SEARCH("; ",'Special Help Table'!$A1002)+2,SEARCH(",",'Special Help Table'!$A1002,SEARCH(";",'Special Help Table'!$A1002))-SEARCH(";",'Special Help Table'!$A1002)-2),AND(LEN('Special Help Table'!$A1002)-LEN(SUBSTITUTE('Special Help Table'!$A1002,"and ",""))=0,LEN('Special Help Table'!$A1002)-LEN(SUBSTITUTE('Special Help Table'!$A1002,";",""))=0),'Special Help Table'!$A1002,AND(LEN('Special Help Table'!$A1002)-LEN(SUBSTITUTE('Special Help Table'!$A1002,",","")=1),LEN('Special Help Table'!$A1002)-LEN(SUBSTITUTE('Special Help Table'!$A1002," ","")=20),LEN('Special Help Table'!$A1002)-LEN(SUBSTITUTE('Special Help Table'!$A1002," and",""))=0,LEN('Special Help Table'!$A1002)-LEN(SUBSTITUTE('Special Help Table'!$A1002,",","",FIND(" ",'Special Help Table'!$A1002)+1))=0),RIGHT('Special Help Table'!$A1002,LEN('Special Help Table'!$A1002)-FIND(", ",'Special Help Table'!$A1002))&amp;" "&amp;LEFT('Special Help Table'!$A1002,FIND(",",'Special Help Table'!$A1002)-1),AND(LEN('Special Help Table'!$A1002)-LEN(SUBSTITUTE('Special Help Table'!$A1002,"editor",""))=6,LEN('Special Help Table'!$A1002)-LEN(SUBSTITUTE('Special Help Table'!$A1002,"(",""))=0,LEN('Special Help Table'!$A1002)-LEN(SUBSTITUTE('Special Help Table'!$A1002,"and",""))=3,LEN('Special Help Table'!$A1002)-LEN(SUBSTITUTE('Special Help Table'!$A1002,",",""))=1,LEN('Special Help Table'!$A1002)-LEN(SUBSTITUTE('Special Help Table'!$A1002," ",""))=3),'Special Help Table'!$A1002)</f>
        <v>0</v>
      </c>
      <c r="C1002" s="4" t="s">
        <v>1707</v>
      </c>
      <c r="D1002" s="2"/>
      <c r="E1002" s="2" t="s">
        <v>1692</v>
      </c>
      <c r="F1002" s="2" t="s">
        <v>72</v>
      </c>
      <c r="G1002" s="2"/>
      <c r="H1002" s="2"/>
      <c r="I1002" s="2"/>
      <c r="J1002" s="2"/>
      <c r="K1002" s="3">
        <v>43023</v>
      </c>
      <c r="L1002" s="2"/>
      <c r="M1002" s="2"/>
      <c r="N1002" s="2" t="s">
        <v>1694</v>
      </c>
    </row>
    <row r="1003" spans="1:14" ht="15.75" customHeight="1" x14ac:dyDescent="0.35">
      <c r="A1003" s="2"/>
      <c r="B1003" s="2" cm="1">
        <f t="array" ref="B1003">_xlfn.IFS(AND(LEN('Special Help Table'!$A1003)-(LEN(SUBSTITUTE('Special Help Table'!$A1003,";","")))=0,LEN('Special Help Table'!$A1003)-LEN(SUBSTITUTE('Special Help Table'!$A1003,",",""))=1,LEN('Special Help Table'!$A1003)-LEN(SUBSTITUTE('Special Help Table'!$A1003,"and ",""))=0),MID('Special Help Table'!$A1003&amp;" "&amp;'Special Help Table'!$A1003,SEARCH(", ",'Special Help Table'!$A1003)+1,LEN('Special Help Table'!$A1003)),AND(LEN('Special Help Table'!$A1003)-(LEN(SUBSTITUTE('Special Help Table'!$A1003,";","")))=1,LEN('Special Help Table'!$A1003)-LEN(SUBSTITUTE('Special Help Table'!$A1003,"and ",""))=0),MID('Special Help Table'!$A1003,SEARCH(",",'Special Help Table'!$A1003)+1,(SEARCH(";",'Special Help Table'!$A1003)-1)-SEARCH(",",'Special Help Table'!$A1003))&amp;" "&amp;LEFT('Special Help Table'!$A1003,SEARCH(",",'Special Help Table'!$A1003)-1)&amp;";"&amp;RIGHT('Special Help Table'!$A1003,LEN('Special Help Table'!$A1003)-SEARCH(",",'Special Help Table'!$A1003,SEARCH(";",'Special Help Table'!$A1003)))&amp;" "&amp;MID('Special Help Table'!$A1003,SEARCH("; ",'Special Help Table'!$A1003)+2,SEARCH(",",'Special Help Table'!$A1003,SEARCH(";",'Special Help Table'!$A1003))-SEARCH(";",'Special Help Table'!$A1003)-2),AND(LEN('Special Help Table'!$A1003)-LEN(SUBSTITUTE('Special Help Table'!$A1003,"and ",""))=0,LEN('Special Help Table'!$A1003)-LEN(SUBSTITUTE('Special Help Table'!$A1003,";",""))=0),'Special Help Table'!$A1003,AND(LEN('Special Help Table'!$A1003)-LEN(SUBSTITUTE('Special Help Table'!$A1003,",","")=1),LEN('Special Help Table'!$A1003)-LEN(SUBSTITUTE('Special Help Table'!$A1003," ","")=20),LEN('Special Help Table'!$A1003)-LEN(SUBSTITUTE('Special Help Table'!$A1003," and",""))=0,LEN('Special Help Table'!$A1003)-LEN(SUBSTITUTE('Special Help Table'!$A1003,",","",FIND(" ",'Special Help Table'!$A1003)+1))=0),RIGHT('Special Help Table'!$A1003,LEN('Special Help Table'!$A1003)-FIND(", ",'Special Help Table'!$A1003))&amp;" "&amp;LEFT('Special Help Table'!$A1003,FIND(",",'Special Help Table'!$A1003)-1),AND(LEN('Special Help Table'!$A1003)-LEN(SUBSTITUTE('Special Help Table'!$A1003,"editor",""))=6,LEN('Special Help Table'!$A1003)-LEN(SUBSTITUTE('Special Help Table'!$A1003,"(",""))=0,LEN('Special Help Table'!$A1003)-LEN(SUBSTITUTE('Special Help Table'!$A1003,"and",""))=3,LEN('Special Help Table'!$A1003)-LEN(SUBSTITUTE('Special Help Table'!$A1003,",",""))=1,LEN('Special Help Table'!$A1003)-LEN(SUBSTITUTE('Special Help Table'!$A1003," ",""))=3),'Special Help Table'!$A1003)</f>
        <v>0</v>
      </c>
      <c r="C1003" s="4" t="s">
        <v>1708</v>
      </c>
      <c r="D1003" s="2"/>
      <c r="E1003" s="2" t="s">
        <v>1692</v>
      </c>
      <c r="F1003" s="2"/>
      <c r="G1003" s="2"/>
      <c r="H1003" s="2"/>
      <c r="I1003" s="2"/>
      <c r="J1003" s="2"/>
      <c r="K1003" s="3">
        <v>40034</v>
      </c>
      <c r="L1003" s="2"/>
      <c r="M1003" s="2" t="s">
        <v>307</v>
      </c>
      <c r="N1003" s="2" t="s">
        <v>1694</v>
      </c>
    </row>
    <row r="1004" spans="1:14" ht="15.75" customHeight="1" x14ac:dyDescent="0.35">
      <c r="A1004" s="2"/>
      <c r="B1004" s="2" cm="1">
        <f t="array" ref="B1004">_xlfn.IFS(AND(LEN('Special Help Table'!$A1004)-(LEN(SUBSTITUTE('Special Help Table'!$A1004,";","")))=0,LEN('Special Help Table'!$A1004)-LEN(SUBSTITUTE('Special Help Table'!$A1004,",",""))=1,LEN('Special Help Table'!$A1004)-LEN(SUBSTITUTE('Special Help Table'!$A1004,"and ",""))=0),MID('Special Help Table'!$A1004&amp;" "&amp;'Special Help Table'!$A1004,SEARCH(", ",'Special Help Table'!$A1004)+1,LEN('Special Help Table'!$A1004)),AND(LEN('Special Help Table'!$A1004)-(LEN(SUBSTITUTE('Special Help Table'!$A1004,";","")))=1,LEN('Special Help Table'!$A1004)-LEN(SUBSTITUTE('Special Help Table'!$A1004,"and ",""))=0),MID('Special Help Table'!$A1004,SEARCH(",",'Special Help Table'!$A1004)+1,(SEARCH(";",'Special Help Table'!$A1004)-1)-SEARCH(",",'Special Help Table'!$A1004))&amp;" "&amp;LEFT('Special Help Table'!$A1004,SEARCH(",",'Special Help Table'!$A1004)-1)&amp;";"&amp;RIGHT('Special Help Table'!$A1004,LEN('Special Help Table'!$A1004)-SEARCH(",",'Special Help Table'!$A1004,SEARCH(";",'Special Help Table'!$A1004)))&amp;" "&amp;MID('Special Help Table'!$A1004,SEARCH("; ",'Special Help Table'!$A1004)+2,SEARCH(",",'Special Help Table'!$A1004,SEARCH(";",'Special Help Table'!$A1004))-SEARCH(";",'Special Help Table'!$A1004)-2),AND(LEN('Special Help Table'!$A1004)-LEN(SUBSTITUTE('Special Help Table'!$A1004,"and ",""))=0,LEN('Special Help Table'!$A1004)-LEN(SUBSTITUTE('Special Help Table'!$A1004,";",""))=0),'Special Help Table'!$A1004,AND(LEN('Special Help Table'!$A1004)-LEN(SUBSTITUTE('Special Help Table'!$A1004,",","")=1),LEN('Special Help Table'!$A1004)-LEN(SUBSTITUTE('Special Help Table'!$A1004," ","")=20),LEN('Special Help Table'!$A1004)-LEN(SUBSTITUTE('Special Help Table'!$A1004," and",""))=0,LEN('Special Help Table'!$A1004)-LEN(SUBSTITUTE('Special Help Table'!$A1004,",","",FIND(" ",'Special Help Table'!$A1004)+1))=0),RIGHT('Special Help Table'!$A1004,LEN('Special Help Table'!$A1004)-FIND(", ",'Special Help Table'!$A1004))&amp;" "&amp;LEFT('Special Help Table'!$A1004,FIND(",",'Special Help Table'!$A1004)-1),AND(LEN('Special Help Table'!$A1004)-LEN(SUBSTITUTE('Special Help Table'!$A1004,"editor",""))=6,LEN('Special Help Table'!$A1004)-LEN(SUBSTITUTE('Special Help Table'!$A1004,"(",""))=0,LEN('Special Help Table'!$A1004)-LEN(SUBSTITUTE('Special Help Table'!$A1004,"and",""))=3,LEN('Special Help Table'!$A1004)-LEN(SUBSTITUTE('Special Help Table'!$A1004,",",""))=1,LEN('Special Help Table'!$A1004)-LEN(SUBSTITUTE('Special Help Table'!$A1004," ",""))=3),'Special Help Table'!$A1004)</f>
        <v>0</v>
      </c>
      <c r="C1004" s="4" t="s">
        <v>1709</v>
      </c>
      <c r="D1004" s="2"/>
      <c r="E1004" s="2" t="s">
        <v>1692</v>
      </c>
      <c r="F1004" s="2"/>
      <c r="G1004" s="2"/>
      <c r="H1004" s="2"/>
      <c r="I1004" s="2"/>
      <c r="J1004" s="2"/>
      <c r="K1004" s="3">
        <v>40920</v>
      </c>
      <c r="L1004" s="2"/>
      <c r="M1004" s="2" t="s">
        <v>1710</v>
      </c>
      <c r="N1004" s="2" t="s">
        <v>1694</v>
      </c>
    </row>
    <row r="1005" spans="1:14" ht="15.75" customHeight="1" x14ac:dyDescent="0.35">
      <c r="A1005" s="2"/>
      <c r="B1005" s="2" cm="1">
        <f t="array" ref="B1005">_xlfn.IFS(AND(LEN('Special Help Table'!$A1005)-(LEN(SUBSTITUTE('Special Help Table'!$A1005,";","")))=0,LEN('Special Help Table'!$A1005)-LEN(SUBSTITUTE('Special Help Table'!$A1005,",",""))=1,LEN('Special Help Table'!$A1005)-LEN(SUBSTITUTE('Special Help Table'!$A1005,"and ",""))=0),MID('Special Help Table'!$A1005&amp;" "&amp;'Special Help Table'!$A1005,SEARCH(", ",'Special Help Table'!$A1005)+1,LEN('Special Help Table'!$A1005)),AND(LEN('Special Help Table'!$A1005)-(LEN(SUBSTITUTE('Special Help Table'!$A1005,";","")))=1,LEN('Special Help Table'!$A1005)-LEN(SUBSTITUTE('Special Help Table'!$A1005,"and ",""))=0),MID('Special Help Table'!$A1005,SEARCH(",",'Special Help Table'!$A1005)+1,(SEARCH(";",'Special Help Table'!$A1005)-1)-SEARCH(",",'Special Help Table'!$A1005))&amp;" "&amp;LEFT('Special Help Table'!$A1005,SEARCH(",",'Special Help Table'!$A1005)-1)&amp;";"&amp;RIGHT('Special Help Table'!$A1005,LEN('Special Help Table'!$A1005)-SEARCH(",",'Special Help Table'!$A1005,SEARCH(";",'Special Help Table'!$A1005)))&amp;" "&amp;MID('Special Help Table'!$A1005,SEARCH("; ",'Special Help Table'!$A1005)+2,SEARCH(",",'Special Help Table'!$A1005,SEARCH(";",'Special Help Table'!$A1005))-SEARCH(";",'Special Help Table'!$A1005)-2),AND(LEN('Special Help Table'!$A1005)-LEN(SUBSTITUTE('Special Help Table'!$A1005,"and ",""))=0,LEN('Special Help Table'!$A1005)-LEN(SUBSTITUTE('Special Help Table'!$A1005,";",""))=0),'Special Help Table'!$A1005,AND(LEN('Special Help Table'!$A1005)-LEN(SUBSTITUTE('Special Help Table'!$A1005,",","")=1),LEN('Special Help Table'!$A1005)-LEN(SUBSTITUTE('Special Help Table'!$A1005," ","")=20),LEN('Special Help Table'!$A1005)-LEN(SUBSTITUTE('Special Help Table'!$A1005," and",""))=0,LEN('Special Help Table'!$A1005)-LEN(SUBSTITUTE('Special Help Table'!$A1005,",","",FIND(" ",'Special Help Table'!$A1005)+1))=0),RIGHT('Special Help Table'!$A1005,LEN('Special Help Table'!$A1005)-FIND(", ",'Special Help Table'!$A1005))&amp;" "&amp;LEFT('Special Help Table'!$A1005,FIND(",",'Special Help Table'!$A1005)-1),AND(LEN('Special Help Table'!$A1005)-LEN(SUBSTITUTE('Special Help Table'!$A1005,"editor",""))=6,LEN('Special Help Table'!$A1005)-LEN(SUBSTITUTE('Special Help Table'!$A1005,"(",""))=0,LEN('Special Help Table'!$A1005)-LEN(SUBSTITUTE('Special Help Table'!$A1005,"and",""))=3,LEN('Special Help Table'!$A1005)-LEN(SUBSTITUTE('Special Help Table'!$A1005,",",""))=1,LEN('Special Help Table'!$A1005)-LEN(SUBSTITUTE('Special Help Table'!$A1005," ",""))=3),'Special Help Table'!$A1005)</f>
        <v>0</v>
      </c>
      <c r="C1005" s="4" t="s">
        <v>1711</v>
      </c>
      <c r="D1005" s="2"/>
      <c r="E1005" s="2" t="s">
        <v>1692</v>
      </c>
      <c r="F1005" s="2"/>
      <c r="G1005" s="2"/>
      <c r="H1005" s="2"/>
      <c r="I1005" s="2"/>
      <c r="J1005" s="2"/>
      <c r="K1005" s="3">
        <v>42353</v>
      </c>
      <c r="L1005" s="2"/>
      <c r="M1005" s="2" t="s">
        <v>1710</v>
      </c>
      <c r="N1005" s="2" t="s">
        <v>1694</v>
      </c>
    </row>
    <row r="1006" spans="1:14" ht="15.75" customHeight="1" x14ac:dyDescent="0.35">
      <c r="A1006" s="2"/>
      <c r="B1006" s="2" cm="1">
        <f t="array" ref="B1006">_xlfn.IFS(AND(LEN('Special Help Table'!$A1006)-(LEN(SUBSTITUTE('Special Help Table'!$A1006,";","")))=0,LEN('Special Help Table'!$A1006)-LEN(SUBSTITUTE('Special Help Table'!$A1006,",",""))=1,LEN('Special Help Table'!$A1006)-LEN(SUBSTITUTE('Special Help Table'!$A1006,"and ",""))=0),MID('Special Help Table'!$A1006&amp;" "&amp;'Special Help Table'!$A1006,SEARCH(", ",'Special Help Table'!$A1006)+1,LEN('Special Help Table'!$A1006)),AND(LEN('Special Help Table'!$A1006)-(LEN(SUBSTITUTE('Special Help Table'!$A1006,";","")))=1,LEN('Special Help Table'!$A1006)-LEN(SUBSTITUTE('Special Help Table'!$A1006,"and ",""))=0),MID('Special Help Table'!$A1006,SEARCH(",",'Special Help Table'!$A1006)+1,(SEARCH(";",'Special Help Table'!$A1006)-1)-SEARCH(",",'Special Help Table'!$A1006))&amp;" "&amp;LEFT('Special Help Table'!$A1006,SEARCH(",",'Special Help Table'!$A1006)-1)&amp;";"&amp;RIGHT('Special Help Table'!$A1006,LEN('Special Help Table'!$A1006)-SEARCH(",",'Special Help Table'!$A1006,SEARCH(";",'Special Help Table'!$A1006)))&amp;" "&amp;MID('Special Help Table'!$A1006,SEARCH("; ",'Special Help Table'!$A1006)+2,SEARCH(",",'Special Help Table'!$A1006,SEARCH(";",'Special Help Table'!$A1006))-SEARCH(";",'Special Help Table'!$A1006)-2),AND(LEN('Special Help Table'!$A1006)-LEN(SUBSTITUTE('Special Help Table'!$A1006,"and ",""))=0,LEN('Special Help Table'!$A1006)-LEN(SUBSTITUTE('Special Help Table'!$A1006,";",""))=0),'Special Help Table'!$A1006,AND(LEN('Special Help Table'!$A1006)-LEN(SUBSTITUTE('Special Help Table'!$A1006,",","")=1),LEN('Special Help Table'!$A1006)-LEN(SUBSTITUTE('Special Help Table'!$A1006," ","")=20),LEN('Special Help Table'!$A1006)-LEN(SUBSTITUTE('Special Help Table'!$A1006," and",""))=0,LEN('Special Help Table'!$A1006)-LEN(SUBSTITUTE('Special Help Table'!$A1006,",","",FIND(" ",'Special Help Table'!$A1006)+1))=0),RIGHT('Special Help Table'!$A1006,LEN('Special Help Table'!$A1006)-FIND(", ",'Special Help Table'!$A1006))&amp;" "&amp;LEFT('Special Help Table'!$A1006,FIND(",",'Special Help Table'!$A1006)-1),AND(LEN('Special Help Table'!$A1006)-LEN(SUBSTITUTE('Special Help Table'!$A1006,"editor",""))=6,LEN('Special Help Table'!$A1006)-LEN(SUBSTITUTE('Special Help Table'!$A1006,"(",""))=0,LEN('Special Help Table'!$A1006)-LEN(SUBSTITUTE('Special Help Table'!$A1006,"and",""))=3,LEN('Special Help Table'!$A1006)-LEN(SUBSTITUTE('Special Help Table'!$A1006,",",""))=1,LEN('Special Help Table'!$A1006)-LEN(SUBSTITUTE('Special Help Table'!$A1006," ",""))=3),'Special Help Table'!$A1006)</f>
        <v>0</v>
      </c>
      <c r="C1006" s="4" t="s">
        <v>1712</v>
      </c>
      <c r="D1006" s="2"/>
      <c r="E1006" s="2" t="s">
        <v>1713</v>
      </c>
      <c r="F1006" s="2"/>
      <c r="G1006" s="2"/>
      <c r="H1006" s="2"/>
      <c r="I1006" s="2"/>
      <c r="J1006" s="2"/>
      <c r="K1006" s="3">
        <v>41957</v>
      </c>
      <c r="L1006" s="2"/>
      <c r="M1006" s="2" t="s">
        <v>1710</v>
      </c>
      <c r="N1006" s="2" t="s">
        <v>1694</v>
      </c>
    </row>
    <row r="1007" spans="1:14" ht="15.75" customHeight="1" x14ac:dyDescent="0.35">
      <c r="A1007" s="2"/>
      <c r="B1007" s="2" cm="1">
        <f t="array" ref="B1007">_xlfn.IFS(AND(LEN('Special Help Table'!$A1007)-(LEN(SUBSTITUTE('Special Help Table'!$A1007,";","")))=0,LEN('Special Help Table'!$A1007)-LEN(SUBSTITUTE('Special Help Table'!$A1007,",",""))=1,LEN('Special Help Table'!$A1007)-LEN(SUBSTITUTE('Special Help Table'!$A1007,"and ",""))=0),MID('Special Help Table'!$A1007&amp;" "&amp;'Special Help Table'!$A1007,SEARCH(", ",'Special Help Table'!$A1007)+1,LEN('Special Help Table'!$A1007)),AND(LEN('Special Help Table'!$A1007)-(LEN(SUBSTITUTE('Special Help Table'!$A1007,";","")))=1,LEN('Special Help Table'!$A1007)-LEN(SUBSTITUTE('Special Help Table'!$A1007,"and ",""))=0),MID('Special Help Table'!$A1007,SEARCH(",",'Special Help Table'!$A1007)+1,(SEARCH(";",'Special Help Table'!$A1007)-1)-SEARCH(",",'Special Help Table'!$A1007))&amp;" "&amp;LEFT('Special Help Table'!$A1007,SEARCH(",",'Special Help Table'!$A1007)-1)&amp;";"&amp;RIGHT('Special Help Table'!$A1007,LEN('Special Help Table'!$A1007)-SEARCH(",",'Special Help Table'!$A1007,SEARCH(";",'Special Help Table'!$A1007)))&amp;" "&amp;MID('Special Help Table'!$A1007,SEARCH("; ",'Special Help Table'!$A1007)+2,SEARCH(",",'Special Help Table'!$A1007,SEARCH(";",'Special Help Table'!$A1007))-SEARCH(";",'Special Help Table'!$A1007)-2),AND(LEN('Special Help Table'!$A1007)-LEN(SUBSTITUTE('Special Help Table'!$A1007,"and ",""))=0,LEN('Special Help Table'!$A1007)-LEN(SUBSTITUTE('Special Help Table'!$A1007,";",""))=0),'Special Help Table'!$A1007,AND(LEN('Special Help Table'!$A1007)-LEN(SUBSTITUTE('Special Help Table'!$A1007,",","")=1),LEN('Special Help Table'!$A1007)-LEN(SUBSTITUTE('Special Help Table'!$A1007," ","")=20),LEN('Special Help Table'!$A1007)-LEN(SUBSTITUTE('Special Help Table'!$A1007," and",""))=0,LEN('Special Help Table'!$A1007)-LEN(SUBSTITUTE('Special Help Table'!$A1007,",","",FIND(" ",'Special Help Table'!$A1007)+1))=0),RIGHT('Special Help Table'!$A1007,LEN('Special Help Table'!$A1007)-FIND(", ",'Special Help Table'!$A1007))&amp;" "&amp;LEFT('Special Help Table'!$A1007,FIND(",",'Special Help Table'!$A1007)-1),AND(LEN('Special Help Table'!$A1007)-LEN(SUBSTITUTE('Special Help Table'!$A1007,"editor",""))=6,LEN('Special Help Table'!$A1007)-LEN(SUBSTITUTE('Special Help Table'!$A1007,"(",""))=0,LEN('Special Help Table'!$A1007)-LEN(SUBSTITUTE('Special Help Table'!$A1007,"and",""))=3,LEN('Special Help Table'!$A1007)-LEN(SUBSTITUTE('Special Help Table'!$A1007,",",""))=1,LEN('Special Help Table'!$A1007)-LEN(SUBSTITUTE('Special Help Table'!$A1007," ",""))=3),'Special Help Table'!$A1007)</f>
        <v>0</v>
      </c>
      <c r="C1007" s="4" t="s">
        <v>1714</v>
      </c>
      <c r="D1007" s="2"/>
      <c r="E1007" s="2" t="s">
        <v>1692</v>
      </c>
      <c r="F1007" s="2"/>
      <c r="G1007" s="2"/>
      <c r="H1007" s="2"/>
      <c r="I1007" s="2"/>
      <c r="J1007" s="2"/>
      <c r="K1007" s="3"/>
      <c r="L1007" s="2"/>
      <c r="M1007" s="2" t="s">
        <v>1710</v>
      </c>
      <c r="N1007" s="2" t="s">
        <v>1694</v>
      </c>
    </row>
    <row r="1008" spans="1:14" ht="15.75" customHeight="1" x14ac:dyDescent="0.35">
      <c r="A1008" s="2"/>
      <c r="B1008" s="2" cm="1">
        <f t="array" ref="B1008">_xlfn.IFS(AND(LEN('Special Help Table'!$A1008)-(LEN(SUBSTITUTE('Special Help Table'!$A1008,";","")))=0,LEN('Special Help Table'!$A1008)-LEN(SUBSTITUTE('Special Help Table'!$A1008,",",""))=1,LEN('Special Help Table'!$A1008)-LEN(SUBSTITUTE('Special Help Table'!$A1008,"and ",""))=0),MID('Special Help Table'!$A1008&amp;" "&amp;'Special Help Table'!$A1008,SEARCH(", ",'Special Help Table'!$A1008)+1,LEN('Special Help Table'!$A1008)),AND(LEN('Special Help Table'!$A1008)-(LEN(SUBSTITUTE('Special Help Table'!$A1008,";","")))=1,LEN('Special Help Table'!$A1008)-LEN(SUBSTITUTE('Special Help Table'!$A1008,"and ",""))=0),MID('Special Help Table'!$A1008,SEARCH(",",'Special Help Table'!$A1008)+1,(SEARCH(";",'Special Help Table'!$A1008)-1)-SEARCH(",",'Special Help Table'!$A1008))&amp;" "&amp;LEFT('Special Help Table'!$A1008,SEARCH(",",'Special Help Table'!$A1008)-1)&amp;";"&amp;RIGHT('Special Help Table'!$A1008,LEN('Special Help Table'!$A1008)-SEARCH(",",'Special Help Table'!$A1008,SEARCH(";",'Special Help Table'!$A1008)))&amp;" "&amp;MID('Special Help Table'!$A1008,SEARCH("; ",'Special Help Table'!$A1008)+2,SEARCH(",",'Special Help Table'!$A1008,SEARCH(";",'Special Help Table'!$A1008))-SEARCH(";",'Special Help Table'!$A1008)-2),AND(LEN('Special Help Table'!$A1008)-LEN(SUBSTITUTE('Special Help Table'!$A1008,"and ",""))=0,LEN('Special Help Table'!$A1008)-LEN(SUBSTITUTE('Special Help Table'!$A1008,";",""))=0),'Special Help Table'!$A1008,AND(LEN('Special Help Table'!$A1008)-LEN(SUBSTITUTE('Special Help Table'!$A1008,",","")=1),LEN('Special Help Table'!$A1008)-LEN(SUBSTITUTE('Special Help Table'!$A1008," ","")=20),LEN('Special Help Table'!$A1008)-LEN(SUBSTITUTE('Special Help Table'!$A1008," and",""))=0,LEN('Special Help Table'!$A1008)-LEN(SUBSTITUTE('Special Help Table'!$A1008,",","",FIND(" ",'Special Help Table'!$A1008)+1))=0),RIGHT('Special Help Table'!$A1008,LEN('Special Help Table'!$A1008)-FIND(", ",'Special Help Table'!$A1008))&amp;" "&amp;LEFT('Special Help Table'!$A1008,FIND(",",'Special Help Table'!$A1008)-1),AND(LEN('Special Help Table'!$A1008)-LEN(SUBSTITUTE('Special Help Table'!$A1008,"editor",""))=6,LEN('Special Help Table'!$A1008)-LEN(SUBSTITUTE('Special Help Table'!$A1008,"(",""))=0,LEN('Special Help Table'!$A1008)-LEN(SUBSTITUTE('Special Help Table'!$A1008,"and",""))=3,LEN('Special Help Table'!$A1008)-LEN(SUBSTITUTE('Special Help Table'!$A1008,",",""))=1,LEN('Special Help Table'!$A1008)-LEN(SUBSTITUTE('Special Help Table'!$A1008," ",""))=3),'Special Help Table'!$A1008)</f>
        <v>0</v>
      </c>
      <c r="C1008" s="4" t="s">
        <v>1715</v>
      </c>
      <c r="D1008" s="2"/>
      <c r="E1008" s="2" t="s">
        <v>1692</v>
      </c>
      <c r="F1008" s="2"/>
      <c r="G1008" s="2"/>
      <c r="H1008" s="2"/>
      <c r="I1008" s="2"/>
      <c r="J1008" s="2"/>
      <c r="K1008" s="3">
        <v>41773</v>
      </c>
      <c r="L1008" s="2"/>
      <c r="M1008" s="2" t="s">
        <v>1710</v>
      </c>
      <c r="N1008" s="2" t="s">
        <v>1694</v>
      </c>
    </row>
    <row r="1009" spans="1:14" ht="15.75" customHeight="1" x14ac:dyDescent="0.35">
      <c r="A1009" s="2"/>
      <c r="B1009" s="2" cm="1">
        <f t="array" ref="B1009">_xlfn.IFS(AND(LEN('Special Help Table'!$A1009)-(LEN(SUBSTITUTE('Special Help Table'!$A1009,";","")))=0,LEN('Special Help Table'!$A1009)-LEN(SUBSTITUTE('Special Help Table'!$A1009,",",""))=1,LEN('Special Help Table'!$A1009)-LEN(SUBSTITUTE('Special Help Table'!$A1009,"and ",""))=0),MID('Special Help Table'!$A1009&amp;" "&amp;'Special Help Table'!$A1009,SEARCH(", ",'Special Help Table'!$A1009)+1,LEN('Special Help Table'!$A1009)),AND(LEN('Special Help Table'!$A1009)-(LEN(SUBSTITUTE('Special Help Table'!$A1009,";","")))=1,LEN('Special Help Table'!$A1009)-LEN(SUBSTITUTE('Special Help Table'!$A1009,"and ",""))=0),MID('Special Help Table'!$A1009,SEARCH(",",'Special Help Table'!$A1009)+1,(SEARCH(";",'Special Help Table'!$A1009)-1)-SEARCH(",",'Special Help Table'!$A1009))&amp;" "&amp;LEFT('Special Help Table'!$A1009,SEARCH(",",'Special Help Table'!$A1009)-1)&amp;";"&amp;RIGHT('Special Help Table'!$A1009,LEN('Special Help Table'!$A1009)-SEARCH(",",'Special Help Table'!$A1009,SEARCH(";",'Special Help Table'!$A1009)))&amp;" "&amp;MID('Special Help Table'!$A1009,SEARCH("; ",'Special Help Table'!$A1009)+2,SEARCH(",",'Special Help Table'!$A1009,SEARCH(";",'Special Help Table'!$A1009))-SEARCH(";",'Special Help Table'!$A1009)-2),AND(LEN('Special Help Table'!$A1009)-LEN(SUBSTITUTE('Special Help Table'!$A1009,"and ",""))=0,LEN('Special Help Table'!$A1009)-LEN(SUBSTITUTE('Special Help Table'!$A1009,";",""))=0),'Special Help Table'!$A1009,AND(LEN('Special Help Table'!$A1009)-LEN(SUBSTITUTE('Special Help Table'!$A1009,",","")=1),LEN('Special Help Table'!$A1009)-LEN(SUBSTITUTE('Special Help Table'!$A1009," ","")=20),LEN('Special Help Table'!$A1009)-LEN(SUBSTITUTE('Special Help Table'!$A1009," and",""))=0,LEN('Special Help Table'!$A1009)-LEN(SUBSTITUTE('Special Help Table'!$A1009,",","",FIND(" ",'Special Help Table'!$A1009)+1))=0),RIGHT('Special Help Table'!$A1009,LEN('Special Help Table'!$A1009)-FIND(", ",'Special Help Table'!$A1009))&amp;" "&amp;LEFT('Special Help Table'!$A1009,FIND(",",'Special Help Table'!$A1009)-1),AND(LEN('Special Help Table'!$A1009)-LEN(SUBSTITUTE('Special Help Table'!$A1009,"editor",""))=6,LEN('Special Help Table'!$A1009)-LEN(SUBSTITUTE('Special Help Table'!$A1009,"(",""))=0,LEN('Special Help Table'!$A1009)-LEN(SUBSTITUTE('Special Help Table'!$A1009,"and",""))=3,LEN('Special Help Table'!$A1009)-LEN(SUBSTITUTE('Special Help Table'!$A1009,",",""))=1,LEN('Special Help Table'!$A1009)-LEN(SUBSTITUTE('Special Help Table'!$A1009," ",""))=3),'Special Help Table'!$A1009)</f>
        <v>0</v>
      </c>
      <c r="C1009" s="4" t="s">
        <v>1716</v>
      </c>
      <c r="D1009" s="2"/>
      <c r="E1009" s="2" t="s">
        <v>1692</v>
      </c>
      <c r="F1009" s="2"/>
      <c r="G1009" s="2"/>
      <c r="H1009" s="2"/>
      <c r="I1009" s="2"/>
      <c r="J1009" s="2"/>
      <c r="K1009" s="3"/>
      <c r="L1009" s="2"/>
      <c r="M1009" s="2" t="s">
        <v>1717</v>
      </c>
      <c r="N1009" s="2" t="s">
        <v>1694</v>
      </c>
    </row>
    <row r="1010" spans="1:14" ht="15.75" customHeight="1" x14ac:dyDescent="0.35">
      <c r="A1010" s="2"/>
      <c r="B1010" s="2" cm="1">
        <f t="array" ref="B1010">_xlfn.IFS(AND(LEN('Special Help Table'!$A1010)-(LEN(SUBSTITUTE('Special Help Table'!$A1010,";","")))=0,LEN('Special Help Table'!$A1010)-LEN(SUBSTITUTE('Special Help Table'!$A1010,",",""))=1,LEN('Special Help Table'!$A1010)-LEN(SUBSTITUTE('Special Help Table'!$A1010,"and ",""))=0),MID('Special Help Table'!$A1010&amp;" "&amp;'Special Help Table'!$A1010,SEARCH(", ",'Special Help Table'!$A1010)+1,LEN('Special Help Table'!$A1010)),AND(LEN('Special Help Table'!$A1010)-(LEN(SUBSTITUTE('Special Help Table'!$A1010,";","")))=1,LEN('Special Help Table'!$A1010)-LEN(SUBSTITUTE('Special Help Table'!$A1010,"and ",""))=0),MID('Special Help Table'!$A1010,SEARCH(",",'Special Help Table'!$A1010)+1,(SEARCH(";",'Special Help Table'!$A1010)-1)-SEARCH(",",'Special Help Table'!$A1010))&amp;" "&amp;LEFT('Special Help Table'!$A1010,SEARCH(",",'Special Help Table'!$A1010)-1)&amp;";"&amp;RIGHT('Special Help Table'!$A1010,LEN('Special Help Table'!$A1010)-SEARCH(",",'Special Help Table'!$A1010,SEARCH(";",'Special Help Table'!$A1010)))&amp;" "&amp;MID('Special Help Table'!$A1010,SEARCH("; ",'Special Help Table'!$A1010)+2,SEARCH(",",'Special Help Table'!$A1010,SEARCH(";",'Special Help Table'!$A1010))-SEARCH(";",'Special Help Table'!$A1010)-2),AND(LEN('Special Help Table'!$A1010)-LEN(SUBSTITUTE('Special Help Table'!$A1010,"and ",""))=0,LEN('Special Help Table'!$A1010)-LEN(SUBSTITUTE('Special Help Table'!$A1010,";",""))=0),'Special Help Table'!$A1010,AND(LEN('Special Help Table'!$A1010)-LEN(SUBSTITUTE('Special Help Table'!$A1010,",","")=1),LEN('Special Help Table'!$A1010)-LEN(SUBSTITUTE('Special Help Table'!$A1010," ","")=20),LEN('Special Help Table'!$A1010)-LEN(SUBSTITUTE('Special Help Table'!$A1010," and",""))=0,LEN('Special Help Table'!$A1010)-LEN(SUBSTITUTE('Special Help Table'!$A1010,",","",FIND(" ",'Special Help Table'!$A1010)+1))=0),RIGHT('Special Help Table'!$A1010,LEN('Special Help Table'!$A1010)-FIND(", ",'Special Help Table'!$A1010))&amp;" "&amp;LEFT('Special Help Table'!$A1010,FIND(",",'Special Help Table'!$A1010)-1),AND(LEN('Special Help Table'!$A1010)-LEN(SUBSTITUTE('Special Help Table'!$A1010,"editor",""))=6,LEN('Special Help Table'!$A1010)-LEN(SUBSTITUTE('Special Help Table'!$A1010,"(",""))=0,LEN('Special Help Table'!$A1010)-LEN(SUBSTITUTE('Special Help Table'!$A1010,"and",""))=3,LEN('Special Help Table'!$A1010)-LEN(SUBSTITUTE('Special Help Table'!$A1010,",",""))=1,LEN('Special Help Table'!$A1010)-LEN(SUBSTITUTE('Special Help Table'!$A1010," ",""))=3),'Special Help Table'!$A1010)</f>
        <v>0</v>
      </c>
      <c r="C1010" s="4" t="s">
        <v>1718</v>
      </c>
      <c r="D1010" s="2"/>
      <c r="E1010" s="2" t="s">
        <v>1692</v>
      </c>
      <c r="F1010" s="2"/>
      <c r="G1010" s="2"/>
      <c r="H1010" s="2"/>
      <c r="I1010" s="2"/>
      <c r="J1010" s="2"/>
      <c r="K1010" s="3"/>
      <c r="L1010" s="2"/>
      <c r="M1010" s="2" t="s">
        <v>1717</v>
      </c>
      <c r="N1010" s="2" t="s">
        <v>1694</v>
      </c>
    </row>
    <row r="1011" spans="1:14" ht="15.75" customHeight="1" x14ac:dyDescent="0.35">
      <c r="A1011" s="2"/>
      <c r="B1011" s="2" cm="1">
        <f t="array" ref="B1011">_xlfn.IFS(AND(LEN('Special Help Table'!$A1011)-(LEN(SUBSTITUTE('Special Help Table'!$A1011,";","")))=0,LEN('Special Help Table'!$A1011)-LEN(SUBSTITUTE('Special Help Table'!$A1011,",",""))=1,LEN('Special Help Table'!$A1011)-LEN(SUBSTITUTE('Special Help Table'!$A1011,"and ",""))=0),MID('Special Help Table'!$A1011&amp;" "&amp;'Special Help Table'!$A1011,SEARCH(", ",'Special Help Table'!$A1011)+1,LEN('Special Help Table'!$A1011)),AND(LEN('Special Help Table'!$A1011)-(LEN(SUBSTITUTE('Special Help Table'!$A1011,";","")))=1,LEN('Special Help Table'!$A1011)-LEN(SUBSTITUTE('Special Help Table'!$A1011,"and ",""))=0),MID('Special Help Table'!$A1011,SEARCH(",",'Special Help Table'!$A1011)+1,(SEARCH(";",'Special Help Table'!$A1011)-1)-SEARCH(",",'Special Help Table'!$A1011))&amp;" "&amp;LEFT('Special Help Table'!$A1011,SEARCH(",",'Special Help Table'!$A1011)-1)&amp;";"&amp;RIGHT('Special Help Table'!$A1011,LEN('Special Help Table'!$A1011)-SEARCH(",",'Special Help Table'!$A1011,SEARCH(";",'Special Help Table'!$A1011)))&amp;" "&amp;MID('Special Help Table'!$A1011,SEARCH("; ",'Special Help Table'!$A1011)+2,SEARCH(",",'Special Help Table'!$A1011,SEARCH(";",'Special Help Table'!$A1011))-SEARCH(";",'Special Help Table'!$A1011)-2),AND(LEN('Special Help Table'!$A1011)-LEN(SUBSTITUTE('Special Help Table'!$A1011,"and ",""))=0,LEN('Special Help Table'!$A1011)-LEN(SUBSTITUTE('Special Help Table'!$A1011,";",""))=0),'Special Help Table'!$A1011,AND(LEN('Special Help Table'!$A1011)-LEN(SUBSTITUTE('Special Help Table'!$A1011,",","")=1),LEN('Special Help Table'!$A1011)-LEN(SUBSTITUTE('Special Help Table'!$A1011," ","")=20),LEN('Special Help Table'!$A1011)-LEN(SUBSTITUTE('Special Help Table'!$A1011," and",""))=0,LEN('Special Help Table'!$A1011)-LEN(SUBSTITUTE('Special Help Table'!$A1011,",","",FIND(" ",'Special Help Table'!$A1011)+1))=0),RIGHT('Special Help Table'!$A1011,LEN('Special Help Table'!$A1011)-FIND(", ",'Special Help Table'!$A1011))&amp;" "&amp;LEFT('Special Help Table'!$A1011,FIND(",",'Special Help Table'!$A1011)-1),AND(LEN('Special Help Table'!$A1011)-LEN(SUBSTITUTE('Special Help Table'!$A1011,"editor",""))=6,LEN('Special Help Table'!$A1011)-LEN(SUBSTITUTE('Special Help Table'!$A1011,"(",""))=0,LEN('Special Help Table'!$A1011)-LEN(SUBSTITUTE('Special Help Table'!$A1011,"and",""))=3,LEN('Special Help Table'!$A1011)-LEN(SUBSTITUTE('Special Help Table'!$A1011,",",""))=1,LEN('Special Help Table'!$A1011)-LEN(SUBSTITUTE('Special Help Table'!$A1011," ",""))=3),'Special Help Table'!$A1011)</f>
        <v>0</v>
      </c>
      <c r="C1011" s="4" t="s">
        <v>1719</v>
      </c>
      <c r="D1011" s="2"/>
      <c r="E1011" s="2" t="s">
        <v>1692</v>
      </c>
      <c r="F1011" s="2"/>
      <c r="G1011" s="2"/>
      <c r="H1011" s="2"/>
      <c r="I1011" s="2"/>
      <c r="J1011" s="2"/>
      <c r="K1011" s="3"/>
      <c r="L1011" s="2"/>
      <c r="M1011" s="2" t="s">
        <v>1717</v>
      </c>
      <c r="N1011" s="2" t="s">
        <v>1694</v>
      </c>
    </row>
    <row r="1012" spans="1:14" ht="15.75" customHeight="1" x14ac:dyDescent="0.35">
      <c r="A1012" s="2"/>
      <c r="B1012" s="2" cm="1">
        <f t="array" ref="B1012">_xlfn.IFS(AND(LEN('Special Help Table'!$A1012)-(LEN(SUBSTITUTE('Special Help Table'!$A1012,";","")))=0,LEN('Special Help Table'!$A1012)-LEN(SUBSTITUTE('Special Help Table'!$A1012,",",""))=1,LEN('Special Help Table'!$A1012)-LEN(SUBSTITUTE('Special Help Table'!$A1012,"and ",""))=0),MID('Special Help Table'!$A1012&amp;" "&amp;'Special Help Table'!$A1012,SEARCH(", ",'Special Help Table'!$A1012)+1,LEN('Special Help Table'!$A1012)),AND(LEN('Special Help Table'!$A1012)-(LEN(SUBSTITUTE('Special Help Table'!$A1012,";","")))=1,LEN('Special Help Table'!$A1012)-LEN(SUBSTITUTE('Special Help Table'!$A1012,"and ",""))=0),MID('Special Help Table'!$A1012,SEARCH(",",'Special Help Table'!$A1012)+1,(SEARCH(";",'Special Help Table'!$A1012)-1)-SEARCH(",",'Special Help Table'!$A1012))&amp;" "&amp;LEFT('Special Help Table'!$A1012,SEARCH(",",'Special Help Table'!$A1012)-1)&amp;";"&amp;RIGHT('Special Help Table'!$A1012,LEN('Special Help Table'!$A1012)-SEARCH(",",'Special Help Table'!$A1012,SEARCH(";",'Special Help Table'!$A1012)))&amp;" "&amp;MID('Special Help Table'!$A1012,SEARCH("; ",'Special Help Table'!$A1012)+2,SEARCH(",",'Special Help Table'!$A1012,SEARCH(";",'Special Help Table'!$A1012))-SEARCH(";",'Special Help Table'!$A1012)-2),AND(LEN('Special Help Table'!$A1012)-LEN(SUBSTITUTE('Special Help Table'!$A1012,"and ",""))=0,LEN('Special Help Table'!$A1012)-LEN(SUBSTITUTE('Special Help Table'!$A1012,";",""))=0),'Special Help Table'!$A1012,AND(LEN('Special Help Table'!$A1012)-LEN(SUBSTITUTE('Special Help Table'!$A1012,",","")=1),LEN('Special Help Table'!$A1012)-LEN(SUBSTITUTE('Special Help Table'!$A1012," ","")=20),LEN('Special Help Table'!$A1012)-LEN(SUBSTITUTE('Special Help Table'!$A1012," and",""))=0,LEN('Special Help Table'!$A1012)-LEN(SUBSTITUTE('Special Help Table'!$A1012,",","",FIND(" ",'Special Help Table'!$A1012)+1))=0),RIGHT('Special Help Table'!$A1012,LEN('Special Help Table'!$A1012)-FIND(", ",'Special Help Table'!$A1012))&amp;" "&amp;LEFT('Special Help Table'!$A1012,FIND(",",'Special Help Table'!$A1012)-1),AND(LEN('Special Help Table'!$A1012)-LEN(SUBSTITUTE('Special Help Table'!$A1012,"editor",""))=6,LEN('Special Help Table'!$A1012)-LEN(SUBSTITUTE('Special Help Table'!$A1012,"(",""))=0,LEN('Special Help Table'!$A1012)-LEN(SUBSTITUTE('Special Help Table'!$A1012,"and",""))=3,LEN('Special Help Table'!$A1012)-LEN(SUBSTITUTE('Special Help Table'!$A1012,",",""))=1,LEN('Special Help Table'!$A1012)-LEN(SUBSTITUTE('Special Help Table'!$A1012," ",""))=3),'Special Help Table'!$A1012)</f>
        <v>0</v>
      </c>
      <c r="C1012" s="4" t="s">
        <v>1720</v>
      </c>
      <c r="D1012" s="2"/>
      <c r="E1012" s="2" t="s">
        <v>1692</v>
      </c>
      <c r="F1012" s="2"/>
      <c r="G1012" s="2"/>
      <c r="H1012" s="2"/>
      <c r="I1012" s="2"/>
      <c r="J1012" s="2"/>
      <c r="K1012" s="3"/>
      <c r="L1012" s="2"/>
      <c r="M1012" s="2" t="s">
        <v>1717</v>
      </c>
      <c r="N1012" s="2" t="s">
        <v>1694</v>
      </c>
    </row>
    <row r="1013" spans="1:14" ht="15.75" customHeight="1" x14ac:dyDescent="0.35">
      <c r="A1013" s="2"/>
      <c r="B1013" s="2" cm="1">
        <f t="array" ref="B1013">_xlfn.IFS(AND(LEN('Special Help Table'!$A1013)-(LEN(SUBSTITUTE('Special Help Table'!$A1013,";","")))=0,LEN('Special Help Table'!$A1013)-LEN(SUBSTITUTE('Special Help Table'!$A1013,",",""))=1,LEN('Special Help Table'!$A1013)-LEN(SUBSTITUTE('Special Help Table'!$A1013,"and ",""))=0),MID('Special Help Table'!$A1013&amp;" "&amp;'Special Help Table'!$A1013,SEARCH(", ",'Special Help Table'!$A1013)+1,LEN('Special Help Table'!$A1013)),AND(LEN('Special Help Table'!$A1013)-(LEN(SUBSTITUTE('Special Help Table'!$A1013,";","")))=1,LEN('Special Help Table'!$A1013)-LEN(SUBSTITUTE('Special Help Table'!$A1013,"and ",""))=0),MID('Special Help Table'!$A1013,SEARCH(",",'Special Help Table'!$A1013)+1,(SEARCH(";",'Special Help Table'!$A1013)-1)-SEARCH(",",'Special Help Table'!$A1013))&amp;" "&amp;LEFT('Special Help Table'!$A1013,SEARCH(",",'Special Help Table'!$A1013)-1)&amp;";"&amp;RIGHT('Special Help Table'!$A1013,LEN('Special Help Table'!$A1013)-SEARCH(",",'Special Help Table'!$A1013,SEARCH(";",'Special Help Table'!$A1013)))&amp;" "&amp;MID('Special Help Table'!$A1013,SEARCH("; ",'Special Help Table'!$A1013)+2,SEARCH(",",'Special Help Table'!$A1013,SEARCH(";",'Special Help Table'!$A1013))-SEARCH(";",'Special Help Table'!$A1013)-2),AND(LEN('Special Help Table'!$A1013)-LEN(SUBSTITUTE('Special Help Table'!$A1013,"and ",""))=0,LEN('Special Help Table'!$A1013)-LEN(SUBSTITUTE('Special Help Table'!$A1013,";",""))=0),'Special Help Table'!$A1013,AND(LEN('Special Help Table'!$A1013)-LEN(SUBSTITUTE('Special Help Table'!$A1013,",","")=1),LEN('Special Help Table'!$A1013)-LEN(SUBSTITUTE('Special Help Table'!$A1013," ","")=20),LEN('Special Help Table'!$A1013)-LEN(SUBSTITUTE('Special Help Table'!$A1013," and",""))=0,LEN('Special Help Table'!$A1013)-LEN(SUBSTITUTE('Special Help Table'!$A1013,",","",FIND(" ",'Special Help Table'!$A1013)+1))=0),RIGHT('Special Help Table'!$A1013,LEN('Special Help Table'!$A1013)-FIND(", ",'Special Help Table'!$A1013))&amp;" "&amp;LEFT('Special Help Table'!$A1013,FIND(",",'Special Help Table'!$A1013)-1),AND(LEN('Special Help Table'!$A1013)-LEN(SUBSTITUTE('Special Help Table'!$A1013,"editor",""))=6,LEN('Special Help Table'!$A1013)-LEN(SUBSTITUTE('Special Help Table'!$A1013,"(",""))=0,LEN('Special Help Table'!$A1013)-LEN(SUBSTITUTE('Special Help Table'!$A1013,"and",""))=3,LEN('Special Help Table'!$A1013)-LEN(SUBSTITUTE('Special Help Table'!$A1013,",",""))=1,LEN('Special Help Table'!$A1013)-LEN(SUBSTITUTE('Special Help Table'!$A1013," ",""))=3),'Special Help Table'!$A1013)</f>
        <v>0</v>
      </c>
      <c r="C1013" s="4" t="s">
        <v>1721</v>
      </c>
      <c r="D1013" s="2"/>
      <c r="E1013" s="2" t="s">
        <v>1692</v>
      </c>
      <c r="F1013" s="2"/>
      <c r="G1013" s="2"/>
      <c r="H1013" s="2"/>
      <c r="I1013" s="2"/>
      <c r="J1013" s="2"/>
      <c r="K1013" s="3"/>
      <c r="L1013" s="2"/>
      <c r="M1013" s="2" t="s">
        <v>1717</v>
      </c>
      <c r="N1013" s="2" t="s">
        <v>1694</v>
      </c>
    </row>
    <row r="1014" spans="1:14" ht="15.75" customHeight="1" x14ac:dyDescent="0.35">
      <c r="A1014" s="2"/>
      <c r="B1014" s="2" cm="1">
        <f t="array" ref="B1014">_xlfn.IFS(AND(LEN('Special Help Table'!$A1014)-(LEN(SUBSTITUTE('Special Help Table'!$A1014,";","")))=0,LEN('Special Help Table'!$A1014)-LEN(SUBSTITUTE('Special Help Table'!$A1014,",",""))=1,LEN('Special Help Table'!$A1014)-LEN(SUBSTITUTE('Special Help Table'!$A1014,"and ",""))=0),MID('Special Help Table'!$A1014&amp;" "&amp;'Special Help Table'!$A1014,SEARCH(", ",'Special Help Table'!$A1014)+1,LEN('Special Help Table'!$A1014)),AND(LEN('Special Help Table'!$A1014)-(LEN(SUBSTITUTE('Special Help Table'!$A1014,";","")))=1,LEN('Special Help Table'!$A1014)-LEN(SUBSTITUTE('Special Help Table'!$A1014,"and ",""))=0),MID('Special Help Table'!$A1014,SEARCH(",",'Special Help Table'!$A1014)+1,(SEARCH(";",'Special Help Table'!$A1014)-1)-SEARCH(",",'Special Help Table'!$A1014))&amp;" "&amp;LEFT('Special Help Table'!$A1014,SEARCH(",",'Special Help Table'!$A1014)-1)&amp;";"&amp;RIGHT('Special Help Table'!$A1014,LEN('Special Help Table'!$A1014)-SEARCH(",",'Special Help Table'!$A1014,SEARCH(";",'Special Help Table'!$A1014)))&amp;" "&amp;MID('Special Help Table'!$A1014,SEARCH("; ",'Special Help Table'!$A1014)+2,SEARCH(",",'Special Help Table'!$A1014,SEARCH(";",'Special Help Table'!$A1014))-SEARCH(";",'Special Help Table'!$A1014)-2),AND(LEN('Special Help Table'!$A1014)-LEN(SUBSTITUTE('Special Help Table'!$A1014,"and ",""))=0,LEN('Special Help Table'!$A1014)-LEN(SUBSTITUTE('Special Help Table'!$A1014,";",""))=0),'Special Help Table'!$A1014,AND(LEN('Special Help Table'!$A1014)-LEN(SUBSTITUTE('Special Help Table'!$A1014,",","")=1),LEN('Special Help Table'!$A1014)-LEN(SUBSTITUTE('Special Help Table'!$A1014," ","")=20),LEN('Special Help Table'!$A1014)-LEN(SUBSTITUTE('Special Help Table'!$A1014," and",""))=0,LEN('Special Help Table'!$A1014)-LEN(SUBSTITUTE('Special Help Table'!$A1014,",","",FIND(" ",'Special Help Table'!$A1014)+1))=0),RIGHT('Special Help Table'!$A1014,LEN('Special Help Table'!$A1014)-FIND(", ",'Special Help Table'!$A1014))&amp;" "&amp;LEFT('Special Help Table'!$A1014,FIND(",",'Special Help Table'!$A1014)-1),AND(LEN('Special Help Table'!$A1014)-LEN(SUBSTITUTE('Special Help Table'!$A1014,"editor",""))=6,LEN('Special Help Table'!$A1014)-LEN(SUBSTITUTE('Special Help Table'!$A1014,"(",""))=0,LEN('Special Help Table'!$A1014)-LEN(SUBSTITUTE('Special Help Table'!$A1014,"and",""))=3,LEN('Special Help Table'!$A1014)-LEN(SUBSTITUTE('Special Help Table'!$A1014,",",""))=1,LEN('Special Help Table'!$A1014)-LEN(SUBSTITUTE('Special Help Table'!$A1014," ",""))=3),'Special Help Table'!$A1014)</f>
        <v>0</v>
      </c>
      <c r="C1014" s="4" t="s">
        <v>1722</v>
      </c>
      <c r="D1014" s="2"/>
      <c r="E1014" s="2" t="s">
        <v>1692</v>
      </c>
      <c r="F1014" s="2"/>
      <c r="G1014" s="2"/>
      <c r="H1014" s="2"/>
      <c r="I1014" s="2"/>
      <c r="J1014" s="2"/>
      <c r="K1014" s="3"/>
      <c r="L1014" s="2"/>
      <c r="M1014" s="2" t="s">
        <v>1717</v>
      </c>
      <c r="N1014" s="2" t="s">
        <v>1694</v>
      </c>
    </row>
    <row r="1015" spans="1:14" ht="15.75" customHeight="1" x14ac:dyDescent="0.35">
      <c r="A1015" s="2"/>
      <c r="B1015" s="2" cm="1">
        <f t="array" ref="B1015">_xlfn.IFS(AND(LEN('Special Help Table'!$A1015)-(LEN(SUBSTITUTE('Special Help Table'!$A1015,";","")))=0,LEN('Special Help Table'!$A1015)-LEN(SUBSTITUTE('Special Help Table'!$A1015,",",""))=1,LEN('Special Help Table'!$A1015)-LEN(SUBSTITUTE('Special Help Table'!$A1015,"and ",""))=0),MID('Special Help Table'!$A1015&amp;" "&amp;'Special Help Table'!$A1015,SEARCH(", ",'Special Help Table'!$A1015)+1,LEN('Special Help Table'!$A1015)),AND(LEN('Special Help Table'!$A1015)-(LEN(SUBSTITUTE('Special Help Table'!$A1015,";","")))=1,LEN('Special Help Table'!$A1015)-LEN(SUBSTITUTE('Special Help Table'!$A1015,"and ",""))=0),MID('Special Help Table'!$A1015,SEARCH(",",'Special Help Table'!$A1015)+1,(SEARCH(";",'Special Help Table'!$A1015)-1)-SEARCH(",",'Special Help Table'!$A1015))&amp;" "&amp;LEFT('Special Help Table'!$A1015,SEARCH(",",'Special Help Table'!$A1015)-1)&amp;";"&amp;RIGHT('Special Help Table'!$A1015,LEN('Special Help Table'!$A1015)-SEARCH(",",'Special Help Table'!$A1015,SEARCH(";",'Special Help Table'!$A1015)))&amp;" "&amp;MID('Special Help Table'!$A1015,SEARCH("; ",'Special Help Table'!$A1015)+2,SEARCH(",",'Special Help Table'!$A1015,SEARCH(";",'Special Help Table'!$A1015))-SEARCH(";",'Special Help Table'!$A1015)-2),AND(LEN('Special Help Table'!$A1015)-LEN(SUBSTITUTE('Special Help Table'!$A1015,"and ",""))=0,LEN('Special Help Table'!$A1015)-LEN(SUBSTITUTE('Special Help Table'!$A1015,";",""))=0),'Special Help Table'!$A1015,AND(LEN('Special Help Table'!$A1015)-LEN(SUBSTITUTE('Special Help Table'!$A1015,",","")=1),LEN('Special Help Table'!$A1015)-LEN(SUBSTITUTE('Special Help Table'!$A1015," ","")=20),LEN('Special Help Table'!$A1015)-LEN(SUBSTITUTE('Special Help Table'!$A1015," and",""))=0,LEN('Special Help Table'!$A1015)-LEN(SUBSTITUTE('Special Help Table'!$A1015,",","",FIND(" ",'Special Help Table'!$A1015)+1))=0),RIGHT('Special Help Table'!$A1015,LEN('Special Help Table'!$A1015)-FIND(", ",'Special Help Table'!$A1015))&amp;" "&amp;LEFT('Special Help Table'!$A1015,FIND(",",'Special Help Table'!$A1015)-1),AND(LEN('Special Help Table'!$A1015)-LEN(SUBSTITUTE('Special Help Table'!$A1015,"editor",""))=6,LEN('Special Help Table'!$A1015)-LEN(SUBSTITUTE('Special Help Table'!$A1015,"(",""))=0,LEN('Special Help Table'!$A1015)-LEN(SUBSTITUTE('Special Help Table'!$A1015,"and",""))=3,LEN('Special Help Table'!$A1015)-LEN(SUBSTITUTE('Special Help Table'!$A1015,",",""))=1,LEN('Special Help Table'!$A1015)-LEN(SUBSTITUTE('Special Help Table'!$A1015," ",""))=3),'Special Help Table'!$A1015)</f>
        <v>0</v>
      </c>
      <c r="C1015" s="4" t="s">
        <v>1723</v>
      </c>
      <c r="D1015" s="2"/>
      <c r="E1015" s="2" t="s">
        <v>1692</v>
      </c>
      <c r="F1015" s="2"/>
      <c r="G1015" s="2"/>
      <c r="H1015" s="2"/>
      <c r="I1015" s="2"/>
      <c r="J1015" s="2"/>
      <c r="K1015" s="3"/>
      <c r="L1015" s="2"/>
      <c r="M1015" s="2" t="s">
        <v>1717</v>
      </c>
      <c r="N1015" s="2" t="s">
        <v>1694</v>
      </c>
    </row>
    <row r="1016" spans="1:14" ht="15.75" customHeight="1" x14ac:dyDescent="0.35">
      <c r="A1016" s="2"/>
      <c r="B1016" s="2" cm="1">
        <f t="array" ref="B1016">_xlfn.IFS(AND(LEN('Special Help Table'!$A1016)-(LEN(SUBSTITUTE('Special Help Table'!$A1016,";","")))=0,LEN('Special Help Table'!$A1016)-LEN(SUBSTITUTE('Special Help Table'!$A1016,",",""))=1,LEN('Special Help Table'!$A1016)-LEN(SUBSTITUTE('Special Help Table'!$A1016,"and ",""))=0),MID('Special Help Table'!$A1016&amp;" "&amp;'Special Help Table'!$A1016,SEARCH(", ",'Special Help Table'!$A1016)+1,LEN('Special Help Table'!$A1016)),AND(LEN('Special Help Table'!$A1016)-(LEN(SUBSTITUTE('Special Help Table'!$A1016,";","")))=1,LEN('Special Help Table'!$A1016)-LEN(SUBSTITUTE('Special Help Table'!$A1016,"and ",""))=0),MID('Special Help Table'!$A1016,SEARCH(",",'Special Help Table'!$A1016)+1,(SEARCH(";",'Special Help Table'!$A1016)-1)-SEARCH(",",'Special Help Table'!$A1016))&amp;" "&amp;LEFT('Special Help Table'!$A1016,SEARCH(",",'Special Help Table'!$A1016)-1)&amp;";"&amp;RIGHT('Special Help Table'!$A1016,LEN('Special Help Table'!$A1016)-SEARCH(",",'Special Help Table'!$A1016,SEARCH(";",'Special Help Table'!$A1016)))&amp;" "&amp;MID('Special Help Table'!$A1016,SEARCH("; ",'Special Help Table'!$A1016)+2,SEARCH(",",'Special Help Table'!$A1016,SEARCH(";",'Special Help Table'!$A1016))-SEARCH(";",'Special Help Table'!$A1016)-2),AND(LEN('Special Help Table'!$A1016)-LEN(SUBSTITUTE('Special Help Table'!$A1016,"and ",""))=0,LEN('Special Help Table'!$A1016)-LEN(SUBSTITUTE('Special Help Table'!$A1016,";",""))=0),'Special Help Table'!$A1016,AND(LEN('Special Help Table'!$A1016)-LEN(SUBSTITUTE('Special Help Table'!$A1016,",","")=1),LEN('Special Help Table'!$A1016)-LEN(SUBSTITUTE('Special Help Table'!$A1016," ","")=20),LEN('Special Help Table'!$A1016)-LEN(SUBSTITUTE('Special Help Table'!$A1016," and",""))=0,LEN('Special Help Table'!$A1016)-LEN(SUBSTITUTE('Special Help Table'!$A1016,",","",FIND(" ",'Special Help Table'!$A1016)+1))=0),RIGHT('Special Help Table'!$A1016,LEN('Special Help Table'!$A1016)-FIND(", ",'Special Help Table'!$A1016))&amp;" "&amp;LEFT('Special Help Table'!$A1016,FIND(",",'Special Help Table'!$A1016)-1),AND(LEN('Special Help Table'!$A1016)-LEN(SUBSTITUTE('Special Help Table'!$A1016,"editor",""))=6,LEN('Special Help Table'!$A1016)-LEN(SUBSTITUTE('Special Help Table'!$A1016,"(",""))=0,LEN('Special Help Table'!$A1016)-LEN(SUBSTITUTE('Special Help Table'!$A1016,"and",""))=3,LEN('Special Help Table'!$A1016)-LEN(SUBSTITUTE('Special Help Table'!$A1016,",",""))=1,LEN('Special Help Table'!$A1016)-LEN(SUBSTITUTE('Special Help Table'!$A1016," ",""))=3),'Special Help Table'!$A1016)</f>
        <v>0</v>
      </c>
      <c r="C1016" s="4" t="s">
        <v>1724</v>
      </c>
      <c r="D1016" s="2"/>
      <c r="E1016" s="2" t="s">
        <v>1725</v>
      </c>
      <c r="F1016" s="2"/>
      <c r="G1016" s="2"/>
      <c r="H1016" s="2"/>
      <c r="I1016" s="2"/>
      <c r="J1016" s="2"/>
      <c r="K1016" s="3">
        <v>40034</v>
      </c>
      <c r="L1016" s="2"/>
      <c r="M1016" s="2" t="s">
        <v>114</v>
      </c>
      <c r="N1016" s="2" t="s">
        <v>1694</v>
      </c>
    </row>
    <row r="1017" spans="1:14" ht="15.75" customHeight="1" x14ac:dyDescent="0.35">
      <c r="A1017" s="2"/>
      <c r="B1017" s="2" cm="1">
        <f t="array" ref="B1017">_xlfn.IFS(AND(LEN('Special Help Table'!$A1017)-(LEN(SUBSTITUTE('Special Help Table'!$A1017,";","")))=0,LEN('Special Help Table'!$A1017)-LEN(SUBSTITUTE('Special Help Table'!$A1017,",",""))=1,LEN('Special Help Table'!$A1017)-LEN(SUBSTITUTE('Special Help Table'!$A1017,"and ",""))=0),MID('Special Help Table'!$A1017&amp;" "&amp;'Special Help Table'!$A1017,SEARCH(", ",'Special Help Table'!$A1017)+1,LEN('Special Help Table'!$A1017)),AND(LEN('Special Help Table'!$A1017)-(LEN(SUBSTITUTE('Special Help Table'!$A1017,";","")))=1,LEN('Special Help Table'!$A1017)-LEN(SUBSTITUTE('Special Help Table'!$A1017,"and ",""))=0),MID('Special Help Table'!$A1017,SEARCH(",",'Special Help Table'!$A1017)+1,(SEARCH(";",'Special Help Table'!$A1017)-1)-SEARCH(",",'Special Help Table'!$A1017))&amp;" "&amp;LEFT('Special Help Table'!$A1017,SEARCH(",",'Special Help Table'!$A1017)-1)&amp;";"&amp;RIGHT('Special Help Table'!$A1017,LEN('Special Help Table'!$A1017)-SEARCH(",",'Special Help Table'!$A1017,SEARCH(";",'Special Help Table'!$A1017)))&amp;" "&amp;MID('Special Help Table'!$A1017,SEARCH("; ",'Special Help Table'!$A1017)+2,SEARCH(",",'Special Help Table'!$A1017,SEARCH(";",'Special Help Table'!$A1017))-SEARCH(";",'Special Help Table'!$A1017)-2),AND(LEN('Special Help Table'!$A1017)-LEN(SUBSTITUTE('Special Help Table'!$A1017,"and ",""))=0,LEN('Special Help Table'!$A1017)-LEN(SUBSTITUTE('Special Help Table'!$A1017,";",""))=0),'Special Help Table'!$A1017,AND(LEN('Special Help Table'!$A1017)-LEN(SUBSTITUTE('Special Help Table'!$A1017,",","")=1),LEN('Special Help Table'!$A1017)-LEN(SUBSTITUTE('Special Help Table'!$A1017," ","")=20),LEN('Special Help Table'!$A1017)-LEN(SUBSTITUTE('Special Help Table'!$A1017," and",""))=0,LEN('Special Help Table'!$A1017)-LEN(SUBSTITUTE('Special Help Table'!$A1017,",","",FIND(" ",'Special Help Table'!$A1017)+1))=0),RIGHT('Special Help Table'!$A1017,LEN('Special Help Table'!$A1017)-FIND(", ",'Special Help Table'!$A1017))&amp;" "&amp;LEFT('Special Help Table'!$A1017,FIND(",",'Special Help Table'!$A1017)-1),AND(LEN('Special Help Table'!$A1017)-LEN(SUBSTITUTE('Special Help Table'!$A1017,"editor",""))=6,LEN('Special Help Table'!$A1017)-LEN(SUBSTITUTE('Special Help Table'!$A1017,"(",""))=0,LEN('Special Help Table'!$A1017)-LEN(SUBSTITUTE('Special Help Table'!$A1017,"and",""))=3,LEN('Special Help Table'!$A1017)-LEN(SUBSTITUTE('Special Help Table'!$A1017,",",""))=1,LEN('Special Help Table'!$A1017)-LEN(SUBSTITUTE('Special Help Table'!$A1017," ",""))=3),'Special Help Table'!$A1017)</f>
        <v>0</v>
      </c>
      <c r="C1017" s="4" t="s">
        <v>1726</v>
      </c>
      <c r="D1017" s="2"/>
      <c r="E1017" s="2" t="s">
        <v>1692</v>
      </c>
      <c r="F1017" s="2"/>
      <c r="G1017" s="2"/>
      <c r="H1017" s="2"/>
      <c r="I1017" s="2"/>
      <c r="J1017" s="2"/>
      <c r="K1017" s="3">
        <v>40555</v>
      </c>
      <c r="L1017" s="2" t="s">
        <v>1727</v>
      </c>
      <c r="M1017" s="2" t="s">
        <v>251</v>
      </c>
      <c r="N1017" s="2" t="s">
        <v>1694</v>
      </c>
    </row>
    <row r="1018" spans="1:14" ht="15.75" customHeight="1" x14ac:dyDescent="0.35">
      <c r="A1018" s="2"/>
      <c r="B1018" s="2" cm="1">
        <f t="array" ref="B1018">_xlfn.IFS(AND(LEN('Special Help Table'!$A1018)-(LEN(SUBSTITUTE('Special Help Table'!$A1018,";","")))=0,LEN('Special Help Table'!$A1018)-LEN(SUBSTITUTE('Special Help Table'!$A1018,",",""))=1,LEN('Special Help Table'!$A1018)-LEN(SUBSTITUTE('Special Help Table'!$A1018,"and ",""))=0),MID('Special Help Table'!$A1018&amp;" "&amp;'Special Help Table'!$A1018,SEARCH(", ",'Special Help Table'!$A1018)+1,LEN('Special Help Table'!$A1018)),AND(LEN('Special Help Table'!$A1018)-(LEN(SUBSTITUTE('Special Help Table'!$A1018,";","")))=1,LEN('Special Help Table'!$A1018)-LEN(SUBSTITUTE('Special Help Table'!$A1018,"and ",""))=0),MID('Special Help Table'!$A1018,SEARCH(",",'Special Help Table'!$A1018)+1,(SEARCH(";",'Special Help Table'!$A1018)-1)-SEARCH(",",'Special Help Table'!$A1018))&amp;" "&amp;LEFT('Special Help Table'!$A1018,SEARCH(",",'Special Help Table'!$A1018)-1)&amp;";"&amp;RIGHT('Special Help Table'!$A1018,LEN('Special Help Table'!$A1018)-SEARCH(",",'Special Help Table'!$A1018,SEARCH(";",'Special Help Table'!$A1018)))&amp;" "&amp;MID('Special Help Table'!$A1018,SEARCH("; ",'Special Help Table'!$A1018)+2,SEARCH(",",'Special Help Table'!$A1018,SEARCH(";",'Special Help Table'!$A1018))-SEARCH(";",'Special Help Table'!$A1018)-2),AND(LEN('Special Help Table'!$A1018)-LEN(SUBSTITUTE('Special Help Table'!$A1018,"and ",""))=0,LEN('Special Help Table'!$A1018)-LEN(SUBSTITUTE('Special Help Table'!$A1018,";",""))=0),'Special Help Table'!$A1018,AND(LEN('Special Help Table'!$A1018)-LEN(SUBSTITUTE('Special Help Table'!$A1018,",","")=1),LEN('Special Help Table'!$A1018)-LEN(SUBSTITUTE('Special Help Table'!$A1018," ","")=20),LEN('Special Help Table'!$A1018)-LEN(SUBSTITUTE('Special Help Table'!$A1018," and",""))=0,LEN('Special Help Table'!$A1018)-LEN(SUBSTITUTE('Special Help Table'!$A1018,",","",FIND(" ",'Special Help Table'!$A1018)+1))=0),RIGHT('Special Help Table'!$A1018,LEN('Special Help Table'!$A1018)-FIND(", ",'Special Help Table'!$A1018))&amp;" "&amp;LEFT('Special Help Table'!$A1018,FIND(",",'Special Help Table'!$A1018)-1),AND(LEN('Special Help Table'!$A1018)-LEN(SUBSTITUTE('Special Help Table'!$A1018,"editor",""))=6,LEN('Special Help Table'!$A1018)-LEN(SUBSTITUTE('Special Help Table'!$A1018,"(",""))=0,LEN('Special Help Table'!$A1018)-LEN(SUBSTITUTE('Special Help Table'!$A1018,"and",""))=3,LEN('Special Help Table'!$A1018)-LEN(SUBSTITUTE('Special Help Table'!$A1018,",",""))=1,LEN('Special Help Table'!$A1018)-LEN(SUBSTITUTE('Special Help Table'!$A1018," ",""))=3),'Special Help Table'!$A1018)</f>
        <v>0</v>
      </c>
      <c r="C1018" s="4" t="s">
        <v>1728</v>
      </c>
      <c r="D1018" s="2"/>
      <c r="E1018" s="2" t="s">
        <v>1692</v>
      </c>
      <c r="F1018" s="2"/>
      <c r="G1018" s="2"/>
      <c r="H1018" s="2"/>
      <c r="I1018" s="2"/>
      <c r="J1018" s="2"/>
      <c r="K1018" s="3"/>
      <c r="L1018" s="2"/>
      <c r="M1018" s="2" t="s">
        <v>1090</v>
      </c>
      <c r="N1018" s="2" t="s">
        <v>1694</v>
      </c>
    </row>
    <row r="1019" spans="1:14" ht="15.75" customHeight="1" x14ac:dyDescent="0.35">
      <c r="A1019" s="2"/>
      <c r="B1019" s="2" cm="1">
        <f t="array" ref="B1019">_xlfn.IFS(AND(LEN('Special Help Table'!$A1019)-(LEN(SUBSTITUTE('Special Help Table'!$A1019,";","")))=0,LEN('Special Help Table'!$A1019)-LEN(SUBSTITUTE('Special Help Table'!$A1019,",",""))=1,LEN('Special Help Table'!$A1019)-LEN(SUBSTITUTE('Special Help Table'!$A1019,"and ",""))=0),MID('Special Help Table'!$A1019&amp;" "&amp;'Special Help Table'!$A1019,SEARCH(", ",'Special Help Table'!$A1019)+1,LEN('Special Help Table'!$A1019)),AND(LEN('Special Help Table'!$A1019)-(LEN(SUBSTITUTE('Special Help Table'!$A1019,";","")))=1,LEN('Special Help Table'!$A1019)-LEN(SUBSTITUTE('Special Help Table'!$A1019,"and ",""))=0),MID('Special Help Table'!$A1019,SEARCH(",",'Special Help Table'!$A1019)+1,(SEARCH(";",'Special Help Table'!$A1019)-1)-SEARCH(",",'Special Help Table'!$A1019))&amp;" "&amp;LEFT('Special Help Table'!$A1019,SEARCH(",",'Special Help Table'!$A1019)-1)&amp;";"&amp;RIGHT('Special Help Table'!$A1019,LEN('Special Help Table'!$A1019)-SEARCH(",",'Special Help Table'!$A1019,SEARCH(";",'Special Help Table'!$A1019)))&amp;" "&amp;MID('Special Help Table'!$A1019,SEARCH("; ",'Special Help Table'!$A1019)+2,SEARCH(",",'Special Help Table'!$A1019,SEARCH(";",'Special Help Table'!$A1019))-SEARCH(";",'Special Help Table'!$A1019)-2),AND(LEN('Special Help Table'!$A1019)-LEN(SUBSTITUTE('Special Help Table'!$A1019,"and ",""))=0,LEN('Special Help Table'!$A1019)-LEN(SUBSTITUTE('Special Help Table'!$A1019,";",""))=0),'Special Help Table'!$A1019,AND(LEN('Special Help Table'!$A1019)-LEN(SUBSTITUTE('Special Help Table'!$A1019,",","")=1),LEN('Special Help Table'!$A1019)-LEN(SUBSTITUTE('Special Help Table'!$A1019," ","")=20),LEN('Special Help Table'!$A1019)-LEN(SUBSTITUTE('Special Help Table'!$A1019," and",""))=0,LEN('Special Help Table'!$A1019)-LEN(SUBSTITUTE('Special Help Table'!$A1019,",","",FIND(" ",'Special Help Table'!$A1019)+1))=0),RIGHT('Special Help Table'!$A1019,LEN('Special Help Table'!$A1019)-FIND(", ",'Special Help Table'!$A1019))&amp;" "&amp;LEFT('Special Help Table'!$A1019,FIND(",",'Special Help Table'!$A1019)-1),AND(LEN('Special Help Table'!$A1019)-LEN(SUBSTITUTE('Special Help Table'!$A1019,"editor",""))=6,LEN('Special Help Table'!$A1019)-LEN(SUBSTITUTE('Special Help Table'!$A1019,"(",""))=0,LEN('Special Help Table'!$A1019)-LEN(SUBSTITUTE('Special Help Table'!$A1019,"and",""))=3,LEN('Special Help Table'!$A1019)-LEN(SUBSTITUTE('Special Help Table'!$A1019,",",""))=1,LEN('Special Help Table'!$A1019)-LEN(SUBSTITUTE('Special Help Table'!$A1019," ",""))=3),'Special Help Table'!$A1019)</f>
        <v>0</v>
      </c>
      <c r="C1019" s="4" t="s">
        <v>1729</v>
      </c>
      <c r="D1019" s="2"/>
      <c r="E1019" s="2" t="s">
        <v>1692</v>
      </c>
      <c r="F1019" s="2"/>
      <c r="G1019" s="2"/>
      <c r="H1019" s="2"/>
      <c r="I1019" s="2"/>
      <c r="J1019" s="2"/>
      <c r="K1019" s="3">
        <v>40764</v>
      </c>
      <c r="L1019" s="2"/>
      <c r="M1019" s="2" t="s">
        <v>351</v>
      </c>
      <c r="N1019" s="2" t="s">
        <v>1694</v>
      </c>
    </row>
    <row r="1020" spans="1:14" ht="15.75" customHeight="1" x14ac:dyDescent="0.35">
      <c r="A1020" s="2"/>
      <c r="B1020" s="2" cm="1">
        <f t="array" ref="B1020">_xlfn.IFS(AND(LEN('Special Help Table'!$A1020)-(LEN(SUBSTITUTE('Special Help Table'!$A1020,";","")))=0,LEN('Special Help Table'!$A1020)-LEN(SUBSTITUTE('Special Help Table'!$A1020,",",""))=1,LEN('Special Help Table'!$A1020)-LEN(SUBSTITUTE('Special Help Table'!$A1020,"and ",""))=0),MID('Special Help Table'!$A1020&amp;" "&amp;'Special Help Table'!$A1020,SEARCH(", ",'Special Help Table'!$A1020)+1,LEN('Special Help Table'!$A1020)),AND(LEN('Special Help Table'!$A1020)-(LEN(SUBSTITUTE('Special Help Table'!$A1020,";","")))=1,LEN('Special Help Table'!$A1020)-LEN(SUBSTITUTE('Special Help Table'!$A1020,"and ",""))=0),MID('Special Help Table'!$A1020,SEARCH(",",'Special Help Table'!$A1020)+1,(SEARCH(";",'Special Help Table'!$A1020)-1)-SEARCH(",",'Special Help Table'!$A1020))&amp;" "&amp;LEFT('Special Help Table'!$A1020,SEARCH(",",'Special Help Table'!$A1020)-1)&amp;";"&amp;RIGHT('Special Help Table'!$A1020,LEN('Special Help Table'!$A1020)-SEARCH(",",'Special Help Table'!$A1020,SEARCH(";",'Special Help Table'!$A1020)))&amp;" "&amp;MID('Special Help Table'!$A1020,SEARCH("; ",'Special Help Table'!$A1020)+2,SEARCH(",",'Special Help Table'!$A1020,SEARCH(";",'Special Help Table'!$A1020))-SEARCH(";",'Special Help Table'!$A1020)-2),AND(LEN('Special Help Table'!$A1020)-LEN(SUBSTITUTE('Special Help Table'!$A1020,"and ",""))=0,LEN('Special Help Table'!$A1020)-LEN(SUBSTITUTE('Special Help Table'!$A1020,";",""))=0),'Special Help Table'!$A1020,AND(LEN('Special Help Table'!$A1020)-LEN(SUBSTITUTE('Special Help Table'!$A1020,",","")=1),LEN('Special Help Table'!$A1020)-LEN(SUBSTITUTE('Special Help Table'!$A1020," ","")=20),LEN('Special Help Table'!$A1020)-LEN(SUBSTITUTE('Special Help Table'!$A1020," and",""))=0,LEN('Special Help Table'!$A1020)-LEN(SUBSTITUTE('Special Help Table'!$A1020,",","",FIND(" ",'Special Help Table'!$A1020)+1))=0),RIGHT('Special Help Table'!$A1020,LEN('Special Help Table'!$A1020)-FIND(", ",'Special Help Table'!$A1020))&amp;" "&amp;LEFT('Special Help Table'!$A1020,FIND(",",'Special Help Table'!$A1020)-1),AND(LEN('Special Help Table'!$A1020)-LEN(SUBSTITUTE('Special Help Table'!$A1020,"editor",""))=6,LEN('Special Help Table'!$A1020)-LEN(SUBSTITUTE('Special Help Table'!$A1020,"(",""))=0,LEN('Special Help Table'!$A1020)-LEN(SUBSTITUTE('Special Help Table'!$A1020,"and",""))=3,LEN('Special Help Table'!$A1020)-LEN(SUBSTITUTE('Special Help Table'!$A1020,",",""))=1,LEN('Special Help Table'!$A1020)-LEN(SUBSTITUTE('Special Help Table'!$A1020," ",""))=3),'Special Help Table'!$A1020)</f>
        <v>0</v>
      </c>
      <c r="C1020" s="4" t="s">
        <v>1730</v>
      </c>
      <c r="D1020" s="2"/>
      <c r="E1020" s="2" t="s">
        <v>1692</v>
      </c>
      <c r="F1020" s="2"/>
      <c r="G1020" s="2"/>
      <c r="H1020" s="2"/>
      <c r="I1020" s="2"/>
      <c r="J1020" s="2"/>
      <c r="K1020" s="3">
        <v>40188</v>
      </c>
      <c r="L1020" s="2"/>
      <c r="M1020" s="2" t="s">
        <v>1731</v>
      </c>
      <c r="N1020" s="2" t="s">
        <v>1694</v>
      </c>
    </row>
    <row r="1021" spans="1:14" ht="15.75" customHeight="1" x14ac:dyDescent="0.35">
      <c r="A1021" s="2"/>
      <c r="B1021" s="2" cm="1">
        <f t="array" ref="B1021">_xlfn.IFS(AND(LEN('Special Help Table'!$A1021)-(LEN(SUBSTITUTE('Special Help Table'!$A1021,";","")))=0,LEN('Special Help Table'!$A1021)-LEN(SUBSTITUTE('Special Help Table'!$A1021,",",""))=1,LEN('Special Help Table'!$A1021)-LEN(SUBSTITUTE('Special Help Table'!$A1021,"and ",""))=0),MID('Special Help Table'!$A1021&amp;" "&amp;'Special Help Table'!$A1021,SEARCH(", ",'Special Help Table'!$A1021)+1,LEN('Special Help Table'!$A1021)),AND(LEN('Special Help Table'!$A1021)-(LEN(SUBSTITUTE('Special Help Table'!$A1021,";","")))=1,LEN('Special Help Table'!$A1021)-LEN(SUBSTITUTE('Special Help Table'!$A1021,"and ",""))=0),MID('Special Help Table'!$A1021,SEARCH(",",'Special Help Table'!$A1021)+1,(SEARCH(";",'Special Help Table'!$A1021)-1)-SEARCH(",",'Special Help Table'!$A1021))&amp;" "&amp;LEFT('Special Help Table'!$A1021,SEARCH(",",'Special Help Table'!$A1021)-1)&amp;";"&amp;RIGHT('Special Help Table'!$A1021,LEN('Special Help Table'!$A1021)-SEARCH(",",'Special Help Table'!$A1021,SEARCH(";",'Special Help Table'!$A1021)))&amp;" "&amp;MID('Special Help Table'!$A1021,SEARCH("; ",'Special Help Table'!$A1021)+2,SEARCH(",",'Special Help Table'!$A1021,SEARCH(";",'Special Help Table'!$A1021))-SEARCH(";",'Special Help Table'!$A1021)-2),AND(LEN('Special Help Table'!$A1021)-LEN(SUBSTITUTE('Special Help Table'!$A1021,"and ",""))=0,LEN('Special Help Table'!$A1021)-LEN(SUBSTITUTE('Special Help Table'!$A1021,";",""))=0),'Special Help Table'!$A1021,AND(LEN('Special Help Table'!$A1021)-LEN(SUBSTITUTE('Special Help Table'!$A1021,",","")=1),LEN('Special Help Table'!$A1021)-LEN(SUBSTITUTE('Special Help Table'!$A1021," ","")=20),LEN('Special Help Table'!$A1021)-LEN(SUBSTITUTE('Special Help Table'!$A1021," and",""))=0,LEN('Special Help Table'!$A1021)-LEN(SUBSTITUTE('Special Help Table'!$A1021,",","",FIND(" ",'Special Help Table'!$A1021)+1))=0),RIGHT('Special Help Table'!$A1021,LEN('Special Help Table'!$A1021)-FIND(", ",'Special Help Table'!$A1021))&amp;" "&amp;LEFT('Special Help Table'!$A1021,FIND(",",'Special Help Table'!$A1021)-1),AND(LEN('Special Help Table'!$A1021)-LEN(SUBSTITUTE('Special Help Table'!$A1021,"editor",""))=6,LEN('Special Help Table'!$A1021)-LEN(SUBSTITUTE('Special Help Table'!$A1021,"(",""))=0,LEN('Special Help Table'!$A1021)-LEN(SUBSTITUTE('Special Help Table'!$A1021,"and",""))=3,LEN('Special Help Table'!$A1021)-LEN(SUBSTITUTE('Special Help Table'!$A1021,",",""))=1,LEN('Special Help Table'!$A1021)-LEN(SUBSTITUTE('Special Help Table'!$A1021," ",""))=3),'Special Help Table'!$A1021)</f>
        <v>0</v>
      </c>
      <c r="C1021" s="4" t="s">
        <v>1732</v>
      </c>
      <c r="D1021" s="2"/>
      <c r="E1021" s="2" t="s">
        <v>1692</v>
      </c>
      <c r="F1021" s="2"/>
      <c r="G1021" s="2"/>
      <c r="H1021" s="2"/>
      <c r="I1021" s="2"/>
      <c r="J1021" s="2"/>
      <c r="K1021" s="3"/>
      <c r="L1021" s="2"/>
      <c r="M1021" s="2" t="s">
        <v>802</v>
      </c>
      <c r="N1021" s="2" t="s">
        <v>1694</v>
      </c>
    </row>
    <row r="1022" spans="1:14" ht="15.75" customHeight="1" x14ac:dyDescent="0.35">
      <c r="A1022" s="2"/>
      <c r="B1022" s="2" cm="1">
        <f t="array" ref="B1022">_xlfn.IFS(AND(LEN('Special Help Table'!$A1022)-(LEN(SUBSTITUTE('Special Help Table'!$A1022,";","")))=0,LEN('Special Help Table'!$A1022)-LEN(SUBSTITUTE('Special Help Table'!$A1022,",",""))=1,LEN('Special Help Table'!$A1022)-LEN(SUBSTITUTE('Special Help Table'!$A1022,"and ",""))=0),MID('Special Help Table'!$A1022&amp;" "&amp;'Special Help Table'!$A1022,SEARCH(", ",'Special Help Table'!$A1022)+1,LEN('Special Help Table'!$A1022)),AND(LEN('Special Help Table'!$A1022)-(LEN(SUBSTITUTE('Special Help Table'!$A1022,";","")))=1,LEN('Special Help Table'!$A1022)-LEN(SUBSTITUTE('Special Help Table'!$A1022,"and ",""))=0),MID('Special Help Table'!$A1022,SEARCH(",",'Special Help Table'!$A1022)+1,(SEARCH(";",'Special Help Table'!$A1022)-1)-SEARCH(",",'Special Help Table'!$A1022))&amp;" "&amp;LEFT('Special Help Table'!$A1022,SEARCH(",",'Special Help Table'!$A1022)-1)&amp;";"&amp;RIGHT('Special Help Table'!$A1022,LEN('Special Help Table'!$A1022)-SEARCH(",",'Special Help Table'!$A1022,SEARCH(";",'Special Help Table'!$A1022)))&amp;" "&amp;MID('Special Help Table'!$A1022,SEARCH("; ",'Special Help Table'!$A1022)+2,SEARCH(",",'Special Help Table'!$A1022,SEARCH(";",'Special Help Table'!$A1022))-SEARCH(";",'Special Help Table'!$A1022)-2),AND(LEN('Special Help Table'!$A1022)-LEN(SUBSTITUTE('Special Help Table'!$A1022,"and ",""))=0,LEN('Special Help Table'!$A1022)-LEN(SUBSTITUTE('Special Help Table'!$A1022,";",""))=0),'Special Help Table'!$A1022,AND(LEN('Special Help Table'!$A1022)-LEN(SUBSTITUTE('Special Help Table'!$A1022,",","")=1),LEN('Special Help Table'!$A1022)-LEN(SUBSTITUTE('Special Help Table'!$A1022," ","")=20),LEN('Special Help Table'!$A1022)-LEN(SUBSTITUTE('Special Help Table'!$A1022," and",""))=0,LEN('Special Help Table'!$A1022)-LEN(SUBSTITUTE('Special Help Table'!$A1022,",","",FIND(" ",'Special Help Table'!$A1022)+1))=0),RIGHT('Special Help Table'!$A1022,LEN('Special Help Table'!$A1022)-FIND(", ",'Special Help Table'!$A1022))&amp;" "&amp;LEFT('Special Help Table'!$A1022,FIND(",",'Special Help Table'!$A1022)-1),AND(LEN('Special Help Table'!$A1022)-LEN(SUBSTITUTE('Special Help Table'!$A1022,"editor",""))=6,LEN('Special Help Table'!$A1022)-LEN(SUBSTITUTE('Special Help Table'!$A1022,"(",""))=0,LEN('Special Help Table'!$A1022)-LEN(SUBSTITUTE('Special Help Table'!$A1022,"and",""))=3,LEN('Special Help Table'!$A1022)-LEN(SUBSTITUTE('Special Help Table'!$A1022,",",""))=1,LEN('Special Help Table'!$A1022)-LEN(SUBSTITUTE('Special Help Table'!$A1022," ",""))=3),'Special Help Table'!$A1022)</f>
        <v>0</v>
      </c>
      <c r="C1022" s="4" t="s">
        <v>1733</v>
      </c>
      <c r="D1022" s="2"/>
      <c r="E1022" s="2" t="s">
        <v>1692</v>
      </c>
      <c r="F1022" s="2"/>
      <c r="G1022" s="2"/>
      <c r="H1022" s="2"/>
      <c r="I1022" s="2"/>
      <c r="J1022" s="2"/>
      <c r="K1022" s="3"/>
      <c r="L1022" s="2"/>
      <c r="M1022" s="2" t="s">
        <v>802</v>
      </c>
      <c r="N1022" s="2" t="s">
        <v>1694</v>
      </c>
    </row>
    <row r="1023" spans="1:14" ht="15.75" customHeight="1" x14ac:dyDescent="0.35">
      <c r="A1023" s="2"/>
      <c r="B1023" s="2" cm="1">
        <f t="array" ref="B1023">_xlfn.IFS(AND(LEN('Special Help Table'!$A1023)-(LEN(SUBSTITUTE('Special Help Table'!$A1023,";","")))=0,LEN('Special Help Table'!$A1023)-LEN(SUBSTITUTE('Special Help Table'!$A1023,",",""))=1,LEN('Special Help Table'!$A1023)-LEN(SUBSTITUTE('Special Help Table'!$A1023,"and ",""))=0),MID('Special Help Table'!$A1023&amp;" "&amp;'Special Help Table'!$A1023,SEARCH(", ",'Special Help Table'!$A1023)+1,LEN('Special Help Table'!$A1023)),AND(LEN('Special Help Table'!$A1023)-(LEN(SUBSTITUTE('Special Help Table'!$A1023,";","")))=1,LEN('Special Help Table'!$A1023)-LEN(SUBSTITUTE('Special Help Table'!$A1023,"and ",""))=0),MID('Special Help Table'!$A1023,SEARCH(",",'Special Help Table'!$A1023)+1,(SEARCH(";",'Special Help Table'!$A1023)-1)-SEARCH(",",'Special Help Table'!$A1023))&amp;" "&amp;LEFT('Special Help Table'!$A1023,SEARCH(",",'Special Help Table'!$A1023)-1)&amp;";"&amp;RIGHT('Special Help Table'!$A1023,LEN('Special Help Table'!$A1023)-SEARCH(",",'Special Help Table'!$A1023,SEARCH(";",'Special Help Table'!$A1023)))&amp;" "&amp;MID('Special Help Table'!$A1023,SEARCH("; ",'Special Help Table'!$A1023)+2,SEARCH(",",'Special Help Table'!$A1023,SEARCH(";",'Special Help Table'!$A1023))-SEARCH(";",'Special Help Table'!$A1023)-2),AND(LEN('Special Help Table'!$A1023)-LEN(SUBSTITUTE('Special Help Table'!$A1023,"and ",""))=0,LEN('Special Help Table'!$A1023)-LEN(SUBSTITUTE('Special Help Table'!$A1023,";",""))=0),'Special Help Table'!$A1023,AND(LEN('Special Help Table'!$A1023)-LEN(SUBSTITUTE('Special Help Table'!$A1023,",","")=1),LEN('Special Help Table'!$A1023)-LEN(SUBSTITUTE('Special Help Table'!$A1023," ","")=20),LEN('Special Help Table'!$A1023)-LEN(SUBSTITUTE('Special Help Table'!$A1023," and",""))=0,LEN('Special Help Table'!$A1023)-LEN(SUBSTITUTE('Special Help Table'!$A1023,",","",FIND(" ",'Special Help Table'!$A1023)+1))=0),RIGHT('Special Help Table'!$A1023,LEN('Special Help Table'!$A1023)-FIND(", ",'Special Help Table'!$A1023))&amp;" "&amp;LEFT('Special Help Table'!$A1023,FIND(",",'Special Help Table'!$A1023)-1),AND(LEN('Special Help Table'!$A1023)-LEN(SUBSTITUTE('Special Help Table'!$A1023,"editor",""))=6,LEN('Special Help Table'!$A1023)-LEN(SUBSTITUTE('Special Help Table'!$A1023,"(",""))=0,LEN('Special Help Table'!$A1023)-LEN(SUBSTITUTE('Special Help Table'!$A1023,"and",""))=3,LEN('Special Help Table'!$A1023)-LEN(SUBSTITUTE('Special Help Table'!$A1023,",",""))=1,LEN('Special Help Table'!$A1023)-LEN(SUBSTITUTE('Special Help Table'!$A1023," ",""))=3),'Special Help Table'!$A1023)</f>
        <v>0</v>
      </c>
      <c r="C1023" s="4" t="s">
        <v>1734</v>
      </c>
      <c r="D1023" s="2"/>
      <c r="E1023" s="2" t="s">
        <v>1692</v>
      </c>
      <c r="F1023" s="2"/>
      <c r="G1023" s="2"/>
      <c r="H1023" s="2"/>
      <c r="I1023" s="2"/>
      <c r="J1023" s="2"/>
      <c r="K1023" s="3"/>
      <c r="L1023" s="2"/>
      <c r="M1023" s="2" t="s">
        <v>802</v>
      </c>
      <c r="N1023" s="2" t="s">
        <v>1694</v>
      </c>
    </row>
    <row r="1024" spans="1:14" ht="15.75" customHeight="1" x14ac:dyDescent="0.35">
      <c r="A1024" s="2"/>
      <c r="B1024" s="2" cm="1">
        <f t="array" ref="B1024">_xlfn.IFS(AND(LEN('Special Help Table'!$A1024)-(LEN(SUBSTITUTE('Special Help Table'!$A1024,";","")))=0,LEN('Special Help Table'!$A1024)-LEN(SUBSTITUTE('Special Help Table'!$A1024,",",""))=1,LEN('Special Help Table'!$A1024)-LEN(SUBSTITUTE('Special Help Table'!$A1024,"and ",""))=0),MID('Special Help Table'!$A1024&amp;" "&amp;'Special Help Table'!$A1024,SEARCH(", ",'Special Help Table'!$A1024)+1,LEN('Special Help Table'!$A1024)),AND(LEN('Special Help Table'!$A1024)-(LEN(SUBSTITUTE('Special Help Table'!$A1024,";","")))=1,LEN('Special Help Table'!$A1024)-LEN(SUBSTITUTE('Special Help Table'!$A1024,"and ",""))=0),MID('Special Help Table'!$A1024,SEARCH(",",'Special Help Table'!$A1024)+1,(SEARCH(";",'Special Help Table'!$A1024)-1)-SEARCH(",",'Special Help Table'!$A1024))&amp;" "&amp;LEFT('Special Help Table'!$A1024,SEARCH(",",'Special Help Table'!$A1024)-1)&amp;";"&amp;RIGHT('Special Help Table'!$A1024,LEN('Special Help Table'!$A1024)-SEARCH(",",'Special Help Table'!$A1024,SEARCH(";",'Special Help Table'!$A1024)))&amp;" "&amp;MID('Special Help Table'!$A1024,SEARCH("; ",'Special Help Table'!$A1024)+2,SEARCH(",",'Special Help Table'!$A1024,SEARCH(";",'Special Help Table'!$A1024))-SEARCH(";",'Special Help Table'!$A1024)-2),AND(LEN('Special Help Table'!$A1024)-LEN(SUBSTITUTE('Special Help Table'!$A1024,"and ",""))=0,LEN('Special Help Table'!$A1024)-LEN(SUBSTITUTE('Special Help Table'!$A1024,";",""))=0),'Special Help Table'!$A1024,AND(LEN('Special Help Table'!$A1024)-LEN(SUBSTITUTE('Special Help Table'!$A1024,",","")=1),LEN('Special Help Table'!$A1024)-LEN(SUBSTITUTE('Special Help Table'!$A1024," ","")=20),LEN('Special Help Table'!$A1024)-LEN(SUBSTITUTE('Special Help Table'!$A1024," and",""))=0,LEN('Special Help Table'!$A1024)-LEN(SUBSTITUTE('Special Help Table'!$A1024,",","",FIND(" ",'Special Help Table'!$A1024)+1))=0),RIGHT('Special Help Table'!$A1024,LEN('Special Help Table'!$A1024)-FIND(", ",'Special Help Table'!$A1024))&amp;" "&amp;LEFT('Special Help Table'!$A1024,FIND(",",'Special Help Table'!$A1024)-1),AND(LEN('Special Help Table'!$A1024)-LEN(SUBSTITUTE('Special Help Table'!$A1024,"editor",""))=6,LEN('Special Help Table'!$A1024)-LEN(SUBSTITUTE('Special Help Table'!$A1024,"(",""))=0,LEN('Special Help Table'!$A1024)-LEN(SUBSTITUTE('Special Help Table'!$A1024,"and",""))=3,LEN('Special Help Table'!$A1024)-LEN(SUBSTITUTE('Special Help Table'!$A1024,",",""))=1,LEN('Special Help Table'!$A1024)-LEN(SUBSTITUTE('Special Help Table'!$A1024," ",""))=3),'Special Help Table'!$A1024)</f>
        <v>0</v>
      </c>
      <c r="C1024" s="4" t="s">
        <v>1735</v>
      </c>
      <c r="D1024" s="2"/>
      <c r="E1024" s="2" t="s">
        <v>1692</v>
      </c>
      <c r="F1024" s="2"/>
      <c r="G1024" s="2"/>
      <c r="H1024" s="2"/>
      <c r="I1024" s="2"/>
      <c r="J1024" s="2"/>
      <c r="K1024" s="3"/>
      <c r="L1024" s="2"/>
      <c r="M1024" s="2" t="s">
        <v>802</v>
      </c>
      <c r="N1024" s="2" t="s">
        <v>1694</v>
      </c>
    </row>
    <row r="1025" spans="1:14" ht="15.75" customHeight="1" x14ac:dyDescent="0.35">
      <c r="A1025" s="2"/>
      <c r="B1025" s="2" cm="1">
        <f t="array" ref="B1025">_xlfn.IFS(AND(LEN('Special Help Table'!$A1025)-(LEN(SUBSTITUTE('Special Help Table'!$A1025,";","")))=0,LEN('Special Help Table'!$A1025)-LEN(SUBSTITUTE('Special Help Table'!$A1025,",",""))=1,LEN('Special Help Table'!$A1025)-LEN(SUBSTITUTE('Special Help Table'!$A1025,"and ",""))=0),MID('Special Help Table'!$A1025&amp;" "&amp;'Special Help Table'!$A1025,SEARCH(", ",'Special Help Table'!$A1025)+1,LEN('Special Help Table'!$A1025)),AND(LEN('Special Help Table'!$A1025)-(LEN(SUBSTITUTE('Special Help Table'!$A1025,";","")))=1,LEN('Special Help Table'!$A1025)-LEN(SUBSTITUTE('Special Help Table'!$A1025,"and ",""))=0),MID('Special Help Table'!$A1025,SEARCH(",",'Special Help Table'!$A1025)+1,(SEARCH(";",'Special Help Table'!$A1025)-1)-SEARCH(",",'Special Help Table'!$A1025))&amp;" "&amp;LEFT('Special Help Table'!$A1025,SEARCH(",",'Special Help Table'!$A1025)-1)&amp;";"&amp;RIGHT('Special Help Table'!$A1025,LEN('Special Help Table'!$A1025)-SEARCH(",",'Special Help Table'!$A1025,SEARCH(";",'Special Help Table'!$A1025)))&amp;" "&amp;MID('Special Help Table'!$A1025,SEARCH("; ",'Special Help Table'!$A1025)+2,SEARCH(",",'Special Help Table'!$A1025,SEARCH(";",'Special Help Table'!$A1025))-SEARCH(";",'Special Help Table'!$A1025)-2),AND(LEN('Special Help Table'!$A1025)-LEN(SUBSTITUTE('Special Help Table'!$A1025,"and ",""))=0,LEN('Special Help Table'!$A1025)-LEN(SUBSTITUTE('Special Help Table'!$A1025,";",""))=0),'Special Help Table'!$A1025,AND(LEN('Special Help Table'!$A1025)-LEN(SUBSTITUTE('Special Help Table'!$A1025,",","")=1),LEN('Special Help Table'!$A1025)-LEN(SUBSTITUTE('Special Help Table'!$A1025," ","")=20),LEN('Special Help Table'!$A1025)-LEN(SUBSTITUTE('Special Help Table'!$A1025," and",""))=0,LEN('Special Help Table'!$A1025)-LEN(SUBSTITUTE('Special Help Table'!$A1025,",","",FIND(" ",'Special Help Table'!$A1025)+1))=0),RIGHT('Special Help Table'!$A1025,LEN('Special Help Table'!$A1025)-FIND(", ",'Special Help Table'!$A1025))&amp;" "&amp;LEFT('Special Help Table'!$A1025,FIND(",",'Special Help Table'!$A1025)-1),AND(LEN('Special Help Table'!$A1025)-LEN(SUBSTITUTE('Special Help Table'!$A1025,"editor",""))=6,LEN('Special Help Table'!$A1025)-LEN(SUBSTITUTE('Special Help Table'!$A1025,"(",""))=0,LEN('Special Help Table'!$A1025)-LEN(SUBSTITUTE('Special Help Table'!$A1025,"and",""))=3,LEN('Special Help Table'!$A1025)-LEN(SUBSTITUTE('Special Help Table'!$A1025,",",""))=1,LEN('Special Help Table'!$A1025)-LEN(SUBSTITUTE('Special Help Table'!$A1025," ",""))=3),'Special Help Table'!$A1025)</f>
        <v>0</v>
      </c>
      <c r="C1025" s="4" t="s">
        <v>1736</v>
      </c>
      <c r="D1025" s="2"/>
      <c r="E1025" s="2" t="s">
        <v>1692</v>
      </c>
      <c r="F1025" s="2"/>
      <c r="G1025" s="2"/>
      <c r="H1025" s="2"/>
      <c r="I1025" s="2"/>
      <c r="J1025" s="2"/>
      <c r="K1025" s="3"/>
      <c r="L1025" s="2"/>
      <c r="M1025" s="2" t="s">
        <v>802</v>
      </c>
      <c r="N1025" s="2" t="s">
        <v>1694</v>
      </c>
    </row>
    <row r="1026" spans="1:14" ht="15.75" customHeight="1" x14ac:dyDescent="0.35">
      <c r="A1026" s="2"/>
      <c r="B1026" s="2" cm="1">
        <f t="array" ref="B1026">_xlfn.IFS(AND(LEN('Special Help Table'!$A1026)-(LEN(SUBSTITUTE('Special Help Table'!$A1026,";","")))=0,LEN('Special Help Table'!$A1026)-LEN(SUBSTITUTE('Special Help Table'!$A1026,",",""))=1,LEN('Special Help Table'!$A1026)-LEN(SUBSTITUTE('Special Help Table'!$A1026,"and ",""))=0),MID('Special Help Table'!$A1026&amp;" "&amp;'Special Help Table'!$A1026,SEARCH(", ",'Special Help Table'!$A1026)+1,LEN('Special Help Table'!$A1026)),AND(LEN('Special Help Table'!$A1026)-(LEN(SUBSTITUTE('Special Help Table'!$A1026,";","")))=1,LEN('Special Help Table'!$A1026)-LEN(SUBSTITUTE('Special Help Table'!$A1026,"and ",""))=0),MID('Special Help Table'!$A1026,SEARCH(",",'Special Help Table'!$A1026)+1,(SEARCH(";",'Special Help Table'!$A1026)-1)-SEARCH(",",'Special Help Table'!$A1026))&amp;" "&amp;LEFT('Special Help Table'!$A1026,SEARCH(",",'Special Help Table'!$A1026)-1)&amp;";"&amp;RIGHT('Special Help Table'!$A1026,LEN('Special Help Table'!$A1026)-SEARCH(",",'Special Help Table'!$A1026,SEARCH(";",'Special Help Table'!$A1026)))&amp;" "&amp;MID('Special Help Table'!$A1026,SEARCH("; ",'Special Help Table'!$A1026)+2,SEARCH(",",'Special Help Table'!$A1026,SEARCH(";",'Special Help Table'!$A1026))-SEARCH(";",'Special Help Table'!$A1026)-2),AND(LEN('Special Help Table'!$A1026)-LEN(SUBSTITUTE('Special Help Table'!$A1026,"and ",""))=0,LEN('Special Help Table'!$A1026)-LEN(SUBSTITUTE('Special Help Table'!$A1026,";",""))=0),'Special Help Table'!$A1026,AND(LEN('Special Help Table'!$A1026)-LEN(SUBSTITUTE('Special Help Table'!$A1026,",","")=1),LEN('Special Help Table'!$A1026)-LEN(SUBSTITUTE('Special Help Table'!$A1026," ","")=20),LEN('Special Help Table'!$A1026)-LEN(SUBSTITUTE('Special Help Table'!$A1026," and",""))=0,LEN('Special Help Table'!$A1026)-LEN(SUBSTITUTE('Special Help Table'!$A1026,",","",FIND(" ",'Special Help Table'!$A1026)+1))=0),RIGHT('Special Help Table'!$A1026,LEN('Special Help Table'!$A1026)-FIND(", ",'Special Help Table'!$A1026))&amp;" "&amp;LEFT('Special Help Table'!$A1026,FIND(",",'Special Help Table'!$A1026)-1),AND(LEN('Special Help Table'!$A1026)-LEN(SUBSTITUTE('Special Help Table'!$A1026,"editor",""))=6,LEN('Special Help Table'!$A1026)-LEN(SUBSTITUTE('Special Help Table'!$A1026,"(",""))=0,LEN('Special Help Table'!$A1026)-LEN(SUBSTITUTE('Special Help Table'!$A1026,"and",""))=3,LEN('Special Help Table'!$A1026)-LEN(SUBSTITUTE('Special Help Table'!$A1026,",",""))=1,LEN('Special Help Table'!$A1026)-LEN(SUBSTITUTE('Special Help Table'!$A1026," ",""))=3),'Special Help Table'!$A1026)</f>
        <v>0</v>
      </c>
      <c r="C1026" s="4" t="s">
        <v>1737</v>
      </c>
      <c r="D1026" s="2"/>
      <c r="E1026" s="2" t="s">
        <v>1692</v>
      </c>
      <c r="F1026" s="2"/>
      <c r="G1026" s="2"/>
      <c r="H1026" s="2"/>
      <c r="I1026" s="2"/>
      <c r="J1026" s="2"/>
      <c r="K1026" s="3"/>
      <c r="L1026" s="2"/>
      <c r="M1026" s="2" t="s">
        <v>802</v>
      </c>
      <c r="N1026" s="2" t="s">
        <v>1694</v>
      </c>
    </row>
    <row r="1027" spans="1:14" ht="15.75" customHeight="1" x14ac:dyDescent="0.35">
      <c r="A1027" s="2"/>
      <c r="B1027" s="2" cm="1">
        <f t="array" ref="B1027">_xlfn.IFS(AND(LEN('Special Help Table'!$A1027)-(LEN(SUBSTITUTE('Special Help Table'!$A1027,";","")))=0,LEN('Special Help Table'!$A1027)-LEN(SUBSTITUTE('Special Help Table'!$A1027,",",""))=1,LEN('Special Help Table'!$A1027)-LEN(SUBSTITUTE('Special Help Table'!$A1027,"and ",""))=0),MID('Special Help Table'!$A1027&amp;" "&amp;'Special Help Table'!$A1027,SEARCH(", ",'Special Help Table'!$A1027)+1,LEN('Special Help Table'!$A1027)),AND(LEN('Special Help Table'!$A1027)-(LEN(SUBSTITUTE('Special Help Table'!$A1027,";","")))=1,LEN('Special Help Table'!$A1027)-LEN(SUBSTITUTE('Special Help Table'!$A1027,"and ",""))=0),MID('Special Help Table'!$A1027,SEARCH(",",'Special Help Table'!$A1027)+1,(SEARCH(";",'Special Help Table'!$A1027)-1)-SEARCH(",",'Special Help Table'!$A1027))&amp;" "&amp;LEFT('Special Help Table'!$A1027,SEARCH(",",'Special Help Table'!$A1027)-1)&amp;";"&amp;RIGHT('Special Help Table'!$A1027,LEN('Special Help Table'!$A1027)-SEARCH(",",'Special Help Table'!$A1027,SEARCH(";",'Special Help Table'!$A1027)))&amp;" "&amp;MID('Special Help Table'!$A1027,SEARCH("; ",'Special Help Table'!$A1027)+2,SEARCH(",",'Special Help Table'!$A1027,SEARCH(";",'Special Help Table'!$A1027))-SEARCH(";",'Special Help Table'!$A1027)-2),AND(LEN('Special Help Table'!$A1027)-LEN(SUBSTITUTE('Special Help Table'!$A1027,"and ",""))=0,LEN('Special Help Table'!$A1027)-LEN(SUBSTITUTE('Special Help Table'!$A1027,";",""))=0),'Special Help Table'!$A1027,AND(LEN('Special Help Table'!$A1027)-LEN(SUBSTITUTE('Special Help Table'!$A1027,",","")=1),LEN('Special Help Table'!$A1027)-LEN(SUBSTITUTE('Special Help Table'!$A1027," ","")=20),LEN('Special Help Table'!$A1027)-LEN(SUBSTITUTE('Special Help Table'!$A1027," and",""))=0,LEN('Special Help Table'!$A1027)-LEN(SUBSTITUTE('Special Help Table'!$A1027,",","",FIND(" ",'Special Help Table'!$A1027)+1))=0),RIGHT('Special Help Table'!$A1027,LEN('Special Help Table'!$A1027)-FIND(", ",'Special Help Table'!$A1027))&amp;" "&amp;LEFT('Special Help Table'!$A1027,FIND(",",'Special Help Table'!$A1027)-1),AND(LEN('Special Help Table'!$A1027)-LEN(SUBSTITUTE('Special Help Table'!$A1027,"editor",""))=6,LEN('Special Help Table'!$A1027)-LEN(SUBSTITUTE('Special Help Table'!$A1027,"(",""))=0,LEN('Special Help Table'!$A1027)-LEN(SUBSTITUTE('Special Help Table'!$A1027,"and",""))=3,LEN('Special Help Table'!$A1027)-LEN(SUBSTITUTE('Special Help Table'!$A1027,",",""))=1,LEN('Special Help Table'!$A1027)-LEN(SUBSTITUTE('Special Help Table'!$A1027," ",""))=3),'Special Help Table'!$A1027)</f>
        <v>0</v>
      </c>
      <c r="C1027" s="4" t="s">
        <v>1738</v>
      </c>
      <c r="D1027" s="2"/>
      <c r="E1027" s="2" t="s">
        <v>1692</v>
      </c>
      <c r="F1027" s="2"/>
      <c r="G1027" s="2"/>
      <c r="H1027" s="2"/>
      <c r="I1027" s="2"/>
      <c r="J1027" s="2"/>
      <c r="K1027" s="3"/>
      <c r="L1027" s="2"/>
      <c r="M1027" s="2" t="s">
        <v>802</v>
      </c>
      <c r="N1027" s="2" t="s">
        <v>1694</v>
      </c>
    </row>
    <row r="1028" spans="1:14" ht="15.75" customHeight="1" x14ac:dyDescent="0.35">
      <c r="A1028" s="2"/>
      <c r="B1028" s="2" cm="1">
        <f t="array" ref="B1028">_xlfn.IFS(AND(LEN('Special Help Table'!$A1028)-(LEN(SUBSTITUTE('Special Help Table'!$A1028,";","")))=0,LEN('Special Help Table'!$A1028)-LEN(SUBSTITUTE('Special Help Table'!$A1028,",",""))=1,LEN('Special Help Table'!$A1028)-LEN(SUBSTITUTE('Special Help Table'!$A1028,"and ",""))=0),MID('Special Help Table'!$A1028&amp;" "&amp;'Special Help Table'!$A1028,SEARCH(", ",'Special Help Table'!$A1028)+1,LEN('Special Help Table'!$A1028)),AND(LEN('Special Help Table'!$A1028)-(LEN(SUBSTITUTE('Special Help Table'!$A1028,";","")))=1,LEN('Special Help Table'!$A1028)-LEN(SUBSTITUTE('Special Help Table'!$A1028,"and ",""))=0),MID('Special Help Table'!$A1028,SEARCH(",",'Special Help Table'!$A1028)+1,(SEARCH(";",'Special Help Table'!$A1028)-1)-SEARCH(",",'Special Help Table'!$A1028))&amp;" "&amp;LEFT('Special Help Table'!$A1028,SEARCH(",",'Special Help Table'!$A1028)-1)&amp;";"&amp;RIGHT('Special Help Table'!$A1028,LEN('Special Help Table'!$A1028)-SEARCH(",",'Special Help Table'!$A1028,SEARCH(";",'Special Help Table'!$A1028)))&amp;" "&amp;MID('Special Help Table'!$A1028,SEARCH("; ",'Special Help Table'!$A1028)+2,SEARCH(",",'Special Help Table'!$A1028,SEARCH(";",'Special Help Table'!$A1028))-SEARCH(";",'Special Help Table'!$A1028)-2),AND(LEN('Special Help Table'!$A1028)-LEN(SUBSTITUTE('Special Help Table'!$A1028,"and ",""))=0,LEN('Special Help Table'!$A1028)-LEN(SUBSTITUTE('Special Help Table'!$A1028,";",""))=0),'Special Help Table'!$A1028,AND(LEN('Special Help Table'!$A1028)-LEN(SUBSTITUTE('Special Help Table'!$A1028,",","")=1),LEN('Special Help Table'!$A1028)-LEN(SUBSTITUTE('Special Help Table'!$A1028," ","")=20),LEN('Special Help Table'!$A1028)-LEN(SUBSTITUTE('Special Help Table'!$A1028," and",""))=0,LEN('Special Help Table'!$A1028)-LEN(SUBSTITUTE('Special Help Table'!$A1028,",","",FIND(" ",'Special Help Table'!$A1028)+1))=0),RIGHT('Special Help Table'!$A1028,LEN('Special Help Table'!$A1028)-FIND(", ",'Special Help Table'!$A1028))&amp;" "&amp;LEFT('Special Help Table'!$A1028,FIND(",",'Special Help Table'!$A1028)-1),AND(LEN('Special Help Table'!$A1028)-LEN(SUBSTITUTE('Special Help Table'!$A1028,"editor",""))=6,LEN('Special Help Table'!$A1028)-LEN(SUBSTITUTE('Special Help Table'!$A1028,"(",""))=0,LEN('Special Help Table'!$A1028)-LEN(SUBSTITUTE('Special Help Table'!$A1028,"and",""))=3,LEN('Special Help Table'!$A1028)-LEN(SUBSTITUTE('Special Help Table'!$A1028,",",""))=1,LEN('Special Help Table'!$A1028)-LEN(SUBSTITUTE('Special Help Table'!$A1028," ",""))=3),'Special Help Table'!$A1028)</f>
        <v>0</v>
      </c>
      <c r="C1028" s="4" t="s">
        <v>1739</v>
      </c>
      <c r="D1028" s="2"/>
      <c r="E1028" s="2" t="s">
        <v>1692</v>
      </c>
      <c r="F1028" s="2"/>
      <c r="G1028" s="2"/>
      <c r="H1028" s="2"/>
      <c r="I1028" s="2"/>
      <c r="J1028" s="2"/>
      <c r="K1028" s="3"/>
      <c r="L1028" s="2"/>
      <c r="M1028" s="2" t="s">
        <v>802</v>
      </c>
      <c r="N1028" s="2" t="s">
        <v>1694</v>
      </c>
    </row>
    <row r="1029" spans="1:14" ht="15.75" customHeight="1" x14ac:dyDescent="0.35">
      <c r="A1029" s="2"/>
      <c r="B1029" s="2" cm="1">
        <f t="array" ref="B1029">_xlfn.IFS(AND(LEN('Special Help Table'!$A1029)-(LEN(SUBSTITUTE('Special Help Table'!$A1029,";","")))=0,LEN('Special Help Table'!$A1029)-LEN(SUBSTITUTE('Special Help Table'!$A1029,",",""))=1,LEN('Special Help Table'!$A1029)-LEN(SUBSTITUTE('Special Help Table'!$A1029,"and ",""))=0),MID('Special Help Table'!$A1029&amp;" "&amp;'Special Help Table'!$A1029,SEARCH(", ",'Special Help Table'!$A1029)+1,LEN('Special Help Table'!$A1029)),AND(LEN('Special Help Table'!$A1029)-(LEN(SUBSTITUTE('Special Help Table'!$A1029,";","")))=1,LEN('Special Help Table'!$A1029)-LEN(SUBSTITUTE('Special Help Table'!$A1029,"and ",""))=0),MID('Special Help Table'!$A1029,SEARCH(",",'Special Help Table'!$A1029)+1,(SEARCH(";",'Special Help Table'!$A1029)-1)-SEARCH(",",'Special Help Table'!$A1029))&amp;" "&amp;LEFT('Special Help Table'!$A1029,SEARCH(",",'Special Help Table'!$A1029)-1)&amp;";"&amp;RIGHT('Special Help Table'!$A1029,LEN('Special Help Table'!$A1029)-SEARCH(",",'Special Help Table'!$A1029,SEARCH(";",'Special Help Table'!$A1029)))&amp;" "&amp;MID('Special Help Table'!$A1029,SEARCH("; ",'Special Help Table'!$A1029)+2,SEARCH(",",'Special Help Table'!$A1029,SEARCH(";",'Special Help Table'!$A1029))-SEARCH(";",'Special Help Table'!$A1029)-2),AND(LEN('Special Help Table'!$A1029)-LEN(SUBSTITUTE('Special Help Table'!$A1029,"and ",""))=0,LEN('Special Help Table'!$A1029)-LEN(SUBSTITUTE('Special Help Table'!$A1029,";",""))=0),'Special Help Table'!$A1029,AND(LEN('Special Help Table'!$A1029)-LEN(SUBSTITUTE('Special Help Table'!$A1029,",","")=1),LEN('Special Help Table'!$A1029)-LEN(SUBSTITUTE('Special Help Table'!$A1029," ","")=20),LEN('Special Help Table'!$A1029)-LEN(SUBSTITUTE('Special Help Table'!$A1029," and",""))=0,LEN('Special Help Table'!$A1029)-LEN(SUBSTITUTE('Special Help Table'!$A1029,",","",FIND(" ",'Special Help Table'!$A1029)+1))=0),RIGHT('Special Help Table'!$A1029,LEN('Special Help Table'!$A1029)-FIND(", ",'Special Help Table'!$A1029))&amp;" "&amp;LEFT('Special Help Table'!$A1029,FIND(",",'Special Help Table'!$A1029)-1),AND(LEN('Special Help Table'!$A1029)-LEN(SUBSTITUTE('Special Help Table'!$A1029,"editor",""))=6,LEN('Special Help Table'!$A1029)-LEN(SUBSTITUTE('Special Help Table'!$A1029,"(",""))=0,LEN('Special Help Table'!$A1029)-LEN(SUBSTITUTE('Special Help Table'!$A1029,"and",""))=3,LEN('Special Help Table'!$A1029)-LEN(SUBSTITUTE('Special Help Table'!$A1029,",",""))=1,LEN('Special Help Table'!$A1029)-LEN(SUBSTITUTE('Special Help Table'!$A1029," ",""))=3),'Special Help Table'!$A1029)</f>
        <v>0</v>
      </c>
      <c r="C1029" s="4" t="s">
        <v>1740</v>
      </c>
      <c r="D1029" s="2"/>
      <c r="E1029" s="2" t="s">
        <v>1692</v>
      </c>
      <c r="F1029" s="2"/>
      <c r="G1029" s="2"/>
      <c r="H1029" s="2"/>
      <c r="I1029" s="2"/>
      <c r="J1029" s="2"/>
      <c r="K1029" s="3"/>
      <c r="L1029" s="2"/>
      <c r="M1029" s="2" t="s">
        <v>802</v>
      </c>
      <c r="N1029" s="2" t="s">
        <v>1694</v>
      </c>
    </row>
    <row r="1030" spans="1:14" ht="15.75" customHeight="1" x14ac:dyDescent="0.35">
      <c r="A1030" s="2"/>
      <c r="B1030" s="2" cm="1">
        <f t="array" ref="B1030">_xlfn.IFS(AND(LEN('Special Help Table'!$A1030)-(LEN(SUBSTITUTE('Special Help Table'!$A1030,";","")))=0,LEN('Special Help Table'!$A1030)-LEN(SUBSTITUTE('Special Help Table'!$A1030,",",""))=1,LEN('Special Help Table'!$A1030)-LEN(SUBSTITUTE('Special Help Table'!$A1030,"and ",""))=0),MID('Special Help Table'!$A1030&amp;" "&amp;'Special Help Table'!$A1030,SEARCH(", ",'Special Help Table'!$A1030)+1,LEN('Special Help Table'!$A1030)),AND(LEN('Special Help Table'!$A1030)-(LEN(SUBSTITUTE('Special Help Table'!$A1030,";","")))=1,LEN('Special Help Table'!$A1030)-LEN(SUBSTITUTE('Special Help Table'!$A1030,"and ",""))=0),MID('Special Help Table'!$A1030,SEARCH(",",'Special Help Table'!$A1030)+1,(SEARCH(";",'Special Help Table'!$A1030)-1)-SEARCH(",",'Special Help Table'!$A1030))&amp;" "&amp;LEFT('Special Help Table'!$A1030,SEARCH(",",'Special Help Table'!$A1030)-1)&amp;";"&amp;RIGHT('Special Help Table'!$A1030,LEN('Special Help Table'!$A1030)-SEARCH(",",'Special Help Table'!$A1030,SEARCH(";",'Special Help Table'!$A1030)))&amp;" "&amp;MID('Special Help Table'!$A1030,SEARCH("; ",'Special Help Table'!$A1030)+2,SEARCH(",",'Special Help Table'!$A1030,SEARCH(";",'Special Help Table'!$A1030))-SEARCH(";",'Special Help Table'!$A1030)-2),AND(LEN('Special Help Table'!$A1030)-LEN(SUBSTITUTE('Special Help Table'!$A1030,"and ",""))=0,LEN('Special Help Table'!$A1030)-LEN(SUBSTITUTE('Special Help Table'!$A1030,";",""))=0),'Special Help Table'!$A1030,AND(LEN('Special Help Table'!$A1030)-LEN(SUBSTITUTE('Special Help Table'!$A1030,",","")=1),LEN('Special Help Table'!$A1030)-LEN(SUBSTITUTE('Special Help Table'!$A1030," ","")=20),LEN('Special Help Table'!$A1030)-LEN(SUBSTITUTE('Special Help Table'!$A1030," and",""))=0,LEN('Special Help Table'!$A1030)-LEN(SUBSTITUTE('Special Help Table'!$A1030,",","",FIND(" ",'Special Help Table'!$A1030)+1))=0),RIGHT('Special Help Table'!$A1030,LEN('Special Help Table'!$A1030)-FIND(", ",'Special Help Table'!$A1030))&amp;" "&amp;LEFT('Special Help Table'!$A1030,FIND(",",'Special Help Table'!$A1030)-1),AND(LEN('Special Help Table'!$A1030)-LEN(SUBSTITUTE('Special Help Table'!$A1030,"editor",""))=6,LEN('Special Help Table'!$A1030)-LEN(SUBSTITUTE('Special Help Table'!$A1030,"(",""))=0,LEN('Special Help Table'!$A1030)-LEN(SUBSTITUTE('Special Help Table'!$A1030,"and",""))=3,LEN('Special Help Table'!$A1030)-LEN(SUBSTITUTE('Special Help Table'!$A1030,",",""))=1,LEN('Special Help Table'!$A1030)-LEN(SUBSTITUTE('Special Help Table'!$A1030," ",""))=3),'Special Help Table'!$A1030)</f>
        <v>0</v>
      </c>
      <c r="C1030" s="4" t="s">
        <v>1741</v>
      </c>
      <c r="D1030" s="2"/>
      <c r="E1030" s="2" t="s">
        <v>1692</v>
      </c>
      <c r="F1030" s="2"/>
      <c r="G1030" s="2"/>
      <c r="H1030" s="2"/>
      <c r="I1030" s="2"/>
      <c r="J1030" s="2"/>
      <c r="K1030" s="3"/>
      <c r="L1030" s="2"/>
      <c r="M1030" s="2" t="s">
        <v>802</v>
      </c>
      <c r="N1030" s="2" t="s">
        <v>1694</v>
      </c>
    </row>
    <row r="1031" spans="1:14" ht="15.75" customHeight="1" x14ac:dyDescent="0.35">
      <c r="A1031" s="2"/>
      <c r="B1031" s="2" cm="1">
        <f t="array" ref="B1031">_xlfn.IFS(AND(LEN('Special Help Table'!$A1031)-(LEN(SUBSTITUTE('Special Help Table'!$A1031,";","")))=0,LEN('Special Help Table'!$A1031)-LEN(SUBSTITUTE('Special Help Table'!$A1031,",",""))=1,LEN('Special Help Table'!$A1031)-LEN(SUBSTITUTE('Special Help Table'!$A1031,"and ",""))=0),MID('Special Help Table'!$A1031&amp;" "&amp;'Special Help Table'!$A1031,SEARCH(", ",'Special Help Table'!$A1031)+1,LEN('Special Help Table'!$A1031)),AND(LEN('Special Help Table'!$A1031)-(LEN(SUBSTITUTE('Special Help Table'!$A1031,";","")))=1,LEN('Special Help Table'!$A1031)-LEN(SUBSTITUTE('Special Help Table'!$A1031,"and ",""))=0),MID('Special Help Table'!$A1031,SEARCH(",",'Special Help Table'!$A1031)+1,(SEARCH(";",'Special Help Table'!$A1031)-1)-SEARCH(",",'Special Help Table'!$A1031))&amp;" "&amp;LEFT('Special Help Table'!$A1031,SEARCH(",",'Special Help Table'!$A1031)-1)&amp;";"&amp;RIGHT('Special Help Table'!$A1031,LEN('Special Help Table'!$A1031)-SEARCH(",",'Special Help Table'!$A1031,SEARCH(";",'Special Help Table'!$A1031)))&amp;" "&amp;MID('Special Help Table'!$A1031,SEARCH("; ",'Special Help Table'!$A1031)+2,SEARCH(",",'Special Help Table'!$A1031,SEARCH(";",'Special Help Table'!$A1031))-SEARCH(";",'Special Help Table'!$A1031)-2),AND(LEN('Special Help Table'!$A1031)-LEN(SUBSTITUTE('Special Help Table'!$A1031,"and ",""))=0,LEN('Special Help Table'!$A1031)-LEN(SUBSTITUTE('Special Help Table'!$A1031,";",""))=0),'Special Help Table'!$A1031,AND(LEN('Special Help Table'!$A1031)-LEN(SUBSTITUTE('Special Help Table'!$A1031,",","")=1),LEN('Special Help Table'!$A1031)-LEN(SUBSTITUTE('Special Help Table'!$A1031," ","")=20),LEN('Special Help Table'!$A1031)-LEN(SUBSTITUTE('Special Help Table'!$A1031," and",""))=0,LEN('Special Help Table'!$A1031)-LEN(SUBSTITUTE('Special Help Table'!$A1031,",","",FIND(" ",'Special Help Table'!$A1031)+1))=0),RIGHT('Special Help Table'!$A1031,LEN('Special Help Table'!$A1031)-FIND(", ",'Special Help Table'!$A1031))&amp;" "&amp;LEFT('Special Help Table'!$A1031,FIND(",",'Special Help Table'!$A1031)-1),AND(LEN('Special Help Table'!$A1031)-LEN(SUBSTITUTE('Special Help Table'!$A1031,"editor",""))=6,LEN('Special Help Table'!$A1031)-LEN(SUBSTITUTE('Special Help Table'!$A1031,"(",""))=0,LEN('Special Help Table'!$A1031)-LEN(SUBSTITUTE('Special Help Table'!$A1031,"and",""))=3,LEN('Special Help Table'!$A1031)-LEN(SUBSTITUTE('Special Help Table'!$A1031,",",""))=1,LEN('Special Help Table'!$A1031)-LEN(SUBSTITUTE('Special Help Table'!$A1031," ",""))=3),'Special Help Table'!$A1031)</f>
        <v>0</v>
      </c>
      <c r="C1031" s="4" t="s">
        <v>1742</v>
      </c>
      <c r="D1031" s="2"/>
      <c r="E1031" s="2" t="s">
        <v>1692</v>
      </c>
      <c r="F1031" s="2"/>
      <c r="G1031" s="2"/>
      <c r="H1031" s="2"/>
      <c r="I1031" s="2"/>
      <c r="J1031" s="2"/>
      <c r="K1031" s="3"/>
      <c r="L1031" s="2"/>
      <c r="M1031" s="2" t="s">
        <v>802</v>
      </c>
      <c r="N1031" s="2" t="s">
        <v>1694</v>
      </c>
    </row>
    <row r="1032" spans="1:14" ht="15.75" customHeight="1" x14ac:dyDescent="0.35">
      <c r="A1032" s="2"/>
      <c r="B1032" s="2" cm="1">
        <f t="array" ref="B1032">_xlfn.IFS(AND(LEN('Special Help Table'!$A1032)-(LEN(SUBSTITUTE('Special Help Table'!$A1032,";","")))=0,LEN('Special Help Table'!$A1032)-LEN(SUBSTITUTE('Special Help Table'!$A1032,",",""))=1,LEN('Special Help Table'!$A1032)-LEN(SUBSTITUTE('Special Help Table'!$A1032,"and ",""))=0),MID('Special Help Table'!$A1032&amp;" "&amp;'Special Help Table'!$A1032,SEARCH(", ",'Special Help Table'!$A1032)+1,LEN('Special Help Table'!$A1032)),AND(LEN('Special Help Table'!$A1032)-(LEN(SUBSTITUTE('Special Help Table'!$A1032,";","")))=1,LEN('Special Help Table'!$A1032)-LEN(SUBSTITUTE('Special Help Table'!$A1032,"and ",""))=0),MID('Special Help Table'!$A1032,SEARCH(",",'Special Help Table'!$A1032)+1,(SEARCH(";",'Special Help Table'!$A1032)-1)-SEARCH(",",'Special Help Table'!$A1032))&amp;" "&amp;LEFT('Special Help Table'!$A1032,SEARCH(",",'Special Help Table'!$A1032)-1)&amp;";"&amp;RIGHT('Special Help Table'!$A1032,LEN('Special Help Table'!$A1032)-SEARCH(",",'Special Help Table'!$A1032,SEARCH(";",'Special Help Table'!$A1032)))&amp;" "&amp;MID('Special Help Table'!$A1032,SEARCH("; ",'Special Help Table'!$A1032)+2,SEARCH(",",'Special Help Table'!$A1032,SEARCH(";",'Special Help Table'!$A1032))-SEARCH(";",'Special Help Table'!$A1032)-2),AND(LEN('Special Help Table'!$A1032)-LEN(SUBSTITUTE('Special Help Table'!$A1032,"and ",""))=0,LEN('Special Help Table'!$A1032)-LEN(SUBSTITUTE('Special Help Table'!$A1032,";",""))=0),'Special Help Table'!$A1032,AND(LEN('Special Help Table'!$A1032)-LEN(SUBSTITUTE('Special Help Table'!$A1032,",","")=1),LEN('Special Help Table'!$A1032)-LEN(SUBSTITUTE('Special Help Table'!$A1032," ","")=20),LEN('Special Help Table'!$A1032)-LEN(SUBSTITUTE('Special Help Table'!$A1032," and",""))=0,LEN('Special Help Table'!$A1032)-LEN(SUBSTITUTE('Special Help Table'!$A1032,",","",FIND(" ",'Special Help Table'!$A1032)+1))=0),RIGHT('Special Help Table'!$A1032,LEN('Special Help Table'!$A1032)-FIND(", ",'Special Help Table'!$A1032))&amp;" "&amp;LEFT('Special Help Table'!$A1032,FIND(",",'Special Help Table'!$A1032)-1),AND(LEN('Special Help Table'!$A1032)-LEN(SUBSTITUTE('Special Help Table'!$A1032,"editor",""))=6,LEN('Special Help Table'!$A1032)-LEN(SUBSTITUTE('Special Help Table'!$A1032,"(",""))=0,LEN('Special Help Table'!$A1032)-LEN(SUBSTITUTE('Special Help Table'!$A1032,"and",""))=3,LEN('Special Help Table'!$A1032)-LEN(SUBSTITUTE('Special Help Table'!$A1032,",",""))=1,LEN('Special Help Table'!$A1032)-LEN(SUBSTITUTE('Special Help Table'!$A1032," ",""))=3),'Special Help Table'!$A1032)</f>
        <v>0</v>
      </c>
      <c r="C1032" s="4" t="s">
        <v>1262</v>
      </c>
      <c r="D1032" s="2"/>
      <c r="E1032" s="2" t="s">
        <v>1692</v>
      </c>
      <c r="F1032" s="2"/>
      <c r="G1032" s="2"/>
      <c r="H1032" s="2"/>
      <c r="I1032" s="2"/>
      <c r="J1032" s="2"/>
      <c r="K1032" s="3"/>
      <c r="L1032" s="2"/>
      <c r="M1032" s="2" t="s">
        <v>802</v>
      </c>
      <c r="N1032" s="2" t="s">
        <v>1694</v>
      </c>
    </row>
    <row r="1033" spans="1:14" ht="15.75" customHeight="1" x14ac:dyDescent="0.35">
      <c r="A1033" s="2"/>
      <c r="B1033" s="2" cm="1">
        <f t="array" ref="B1033">_xlfn.IFS(AND(LEN('Special Help Table'!$A1033)-(LEN(SUBSTITUTE('Special Help Table'!$A1033,";","")))=0,LEN('Special Help Table'!$A1033)-LEN(SUBSTITUTE('Special Help Table'!$A1033,",",""))=1,LEN('Special Help Table'!$A1033)-LEN(SUBSTITUTE('Special Help Table'!$A1033,"and ",""))=0),MID('Special Help Table'!$A1033&amp;" "&amp;'Special Help Table'!$A1033,SEARCH(", ",'Special Help Table'!$A1033)+1,LEN('Special Help Table'!$A1033)),AND(LEN('Special Help Table'!$A1033)-(LEN(SUBSTITUTE('Special Help Table'!$A1033,";","")))=1,LEN('Special Help Table'!$A1033)-LEN(SUBSTITUTE('Special Help Table'!$A1033,"and ",""))=0),MID('Special Help Table'!$A1033,SEARCH(",",'Special Help Table'!$A1033)+1,(SEARCH(";",'Special Help Table'!$A1033)-1)-SEARCH(",",'Special Help Table'!$A1033))&amp;" "&amp;LEFT('Special Help Table'!$A1033,SEARCH(",",'Special Help Table'!$A1033)-1)&amp;";"&amp;RIGHT('Special Help Table'!$A1033,LEN('Special Help Table'!$A1033)-SEARCH(",",'Special Help Table'!$A1033,SEARCH(";",'Special Help Table'!$A1033)))&amp;" "&amp;MID('Special Help Table'!$A1033,SEARCH("; ",'Special Help Table'!$A1033)+2,SEARCH(",",'Special Help Table'!$A1033,SEARCH(";",'Special Help Table'!$A1033))-SEARCH(";",'Special Help Table'!$A1033)-2),AND(LEN('Special Help Table'!$A1033)-LEN(SUBSTITUTE('Special Help Table'!$A1033,"and ",""))=0,LEN('Special Help Table'!$A1033)-LEN(SUBSTITUTE('Special Help Table'!$A1033,";",""))=0),'Special Help Table'!$A1033,AND(LEN('Special Help Table'!$A1033)-LEN(SUBSTITUTE('Special Help Table'!$A1033,",","")=1),LEN('Special Help Table'!$A1033)-LEN(SUBSTITUTE('Special Help Table'!$A1033," ","")=20),LEN('Special Help Table'!$A1033)-LEN(SUBSTITUTE('Special Help Table'!$A1033," and",""))=0,LEN('Special Help Table'!$A1033)-LEN(SUBSTITUTE('Special Help Table'!$A1033,",","",FIND(" ",'Special Help Table'!$A1033)+1))=0),RIGHT('Special Help Table'!$A1033,LEN('Special Help Table'!$A1033)-FIND(", ",'Special Help Table'!$A1033))&amp;" "&amp;LEFT('Special Help Table'!$A1033,FIND(",",'Special Help Table'!$A1033)-1),AND(LEN('Special Help Table'!$A1033)-LEN(SUBSTITUTE('Special Help Table'!$A1033,"editor",""))=6,LEN('Special Help Table'!$A1033)-LEN(SUBSTITUTE('Special Help Table'!$A1033,"(",""))=0,LEN('Special Help Table'!$A1033)-LEN(SUBSTITUTE('Special Help Table'!$A1033,"and",""))=3,LEN('Special Help Table'!$A1033)-LEN(SUBSTITUTE('Special Help Table'!$A1033,",",""))=1,LEN('Special Help Table'!$A1033)-LEN(SUBSTITUTE('Special Help Table'!$A1033," ",""))=3),'Special Help Table'!$A1033)</f>
        <v>0</v>
      </c>
      <c r="C1033" s="4" t="s">
        <v>1743</v>
      </c>
      <c r="D1033" s="2"/>
      <c r="E1033" s="2" t="s">
        <v>1692</v>
      </c>
      <c r="F1033" s="2"/>
      <c r="G1033" s="2"/>
      <c r="H1033" s="2"/>
      <c r="I1033" s="2"/>
      <c r="J1033" s="2"/>
      <c r="K1033" s="3"/>
      <c r="L1033" s="2"/>
      <c r="M1033" s="2" t="s">
        <v>802</v>
      </c>
      <c r="N1033" s="2" t="s">
        <v>1694</v>
      </c>
    </row>
    <row r="1034" spans="1:14" ht="15.75" customHeight="1" x14ac:dyDescent="0.35">
      <c r="A1034" s="2"/>
      <c r="B1034" s="2" cm="1">
        <f t="array" ref="B1034">_xlfn.IFS(AND(LEN('Special Help Table'!$A1034)-(LEN(SUBSTITUTE('Special Help Table'!$A1034,";","")))=0,LEN('Special Help Table'!$A1034)-LEN(SUBSTITUTE('Special Help Table'!$A1034,",",""))=1,LEN('Special Help Table'!$A1034)-LEN(SUBSTITUTE('Special Help Table'!$A1034,"and ",""))=0),MID('Special Help Table'!$A1034&amp;" "&amp;'Special Help Table'!$A1034,SEARCH(", ",'Special Help Table'!$A1034)+1,LEN('Special Help Table'!$A1034)),AND(LEN('Special Help Table'!$A1034)-(LEN(SUBSTITUTE('Special Help Table'!$A1034,";","")))=1,LEN('Special Help Table'!$A1034)-LEN(SUBSTITUTE('Special Help Table'!$A1034,"and ",""))=0),MID('Special Help Table'!$A1034,SEARCH(",",'Special Help Table'!$A1034)+1,(SEARCH(";",'Special Help Table'!$A1034)-1)-SEARCH(",",'Special Help Table'!$A1034))&amp;" "&amp;LEFT('Special Help Table'!$A1034,SEARCH(",",'Special Help Table'!$A1034)-1)&amp;";"&amp;RIGHT('Special Help Table'!$A1034,LEN('Special Help Table'!$A1034)-SEARCH(",",'Special Help Table'!$A1034,SEARCH(";",'Special Help Table'!$A1034)))&amp;" "&amp;MID('Special Help Table'!$A1034,SEARCH("; ",'Special Help Table'!$A1034)+2,SEARCH(",",'Special Help Table'!$A1034,SEARCH(";",'Special Help Table'!$A1034))-SEARCH(";",'Special Help Table'!$A1034)-2),AND(LEN('Special Help Table'!$A1034)-LEN(SUBSTITUTE('Special Help Table'!$A1034,"and ",""))=0,LEN('Special Help Table'!$A1034)-LEN(SUBSTITUTE('Special Help Table'!$A1034,";",""))=0),'Special Help Table'!$A1034,AND(LEN('Special Help Table'!$A1034)-LEN(SUBSTITUTE('Special Help Table'!$A1034,",","")=1),LEN('Special Help Table'!$A1034)-LEN(SUBSTITUTE('Special Help Table'!$A1034," ","")=20),LEN('Special Help Table'!$A1034)-LEN(SUBSTITUTE('Special Help Table'!$A1034," and",""))=0,LEN('Special Help Table'!$A1034)-LEN(SUBSTITUTE('Special Help Table'!$A1034,",","",FIND(" ",'Special Help Table'!$A1034)+1))=0),RIGHT('Special Help Table'!$A1034,LEN('Special Help Table'!$A1034)-FIND(", ",'Special Help Table'!$A1034))&amp;" "&amp;LEFT('Special Help Table'!$A1034,FIND(",",'Special Help Table'!$A1034)-1),AND(LEN('Special Help Table'!$A1034)-LEN(SUBSTITUTE('Special Help Table'!$A1034,"editor",""))=6,LEN('Special Help Table'!$A1034)-LEN(SUBSTITUTE('Special Help Table'!$A1034,"(",""))=0,LEN('Special Help Table'!$A1034)-LEN(SUBSTITUTE('Special Help Table'!$A1034,"and",""))=3,LEN('Special Help Table'!$A1034)-LEN(SUBSTITUTE('Special Help Table'!$A1034,",",""))=1,LEN('Special Help Table'!$A1034)-LEN(SUBSTITUTE('Special Help Table'!$A1034," ",""))=3),'Special Help Table'!$A1034)</f>
        <v>0</v>
      </c>
      <c r="C1034" s="4" t="s">
        <v>1744</v>
      </c>
      <c r="D1034" s="2"/>
      <c r="E1034" s="2" t="s">
        <v>1692</v>
      </c>
      <c r="F1034" s="2"/>
      <c r="G1034" s="2"/>
      <c r="H1034" s="2"/>
      <c r="I1034" s="2"/>
      <c r="J1034" s="2"/>
      <c r="K1034" s="3"/>
      <c r="L1034" s="2"/>
      <c r="M1034" s="2" t="s">
        <v>802</v>
      </c>
      <c r="N1034" s="2" t="s">
        <v>1694</v>
      </c>
    </row>
    <row r="1035" spans="1:14" ht="15.75" customHeight="1" x14ac:dyDescent="0.35">
      <c r="A1035" s="2"/>
      <c r="B1035" s="2" cm="1">
        <f t="array" ref="B1035">_xlfn.IFS(AND(LEN('Special Help Table'!$A1035)-(LEN(SUBSTITUTE('Special Help Table'!$A1035,";","")))=0,LEN('Special Help Table'!$A1035)-LEN(SUBSTITUTE('Special Help Table'!$A1035,",",""))=1,LEN('Special Help Table'!$A1035)-LEN(SUBSTITUTE('Special Help Table'!$A1035,"and ",""))=0),MID('Special Help Table'!$A1035&amp;" "&amp;'Special Help Table'!$A1035,SEARCH(", ",'Special Help Table'!$A1035)+1,LEN('Special Help Table'!$A1035)),AND(LEN('Special Help Table'!$A1035)-(LEN(SUBSTITUTE('Special Help Table'!$A1035,";","")))=1,LEN('Special Help Table'!$A1035)-LEN(SUBSTITUTE('Special Help Table'!$A1035,"and ",""))=0),MID('Special Help Table'!$A1035,SEARCH(",",'Special Help Table'!$A1035)+1,(SEARCH(";",'Special Help Table'!$A1035)-1)-SEARCH(",",'Special Help Table'!$A1035))&amp;" "&amp;LEFT('Special Help Table'!$A1035,SEARCH(",",'Special Help Table'!$A1035)-1)&amp;";"&amp;RIGHT('Special Help Table'!$A1035,LEN('Special Help Table'!$A1035)-SEARCH(",",'Special Help Table'!$A1035,SEARCH(";",'Special Help Table'!$A1035)))&amp;" "&amp;MID('Special Help Table'!$A1035,SEARCH("; ",'Special Help Table'!$A1035)+2,SEARCH(",",'Special Help Table'!$A1035,SEARCH(";",'Special Help Table'!$A1035))-SEARCH(";",'Special Help Table'!$A1035)-2),AND(LEN('Special Help Table'!$A1035)-LEN(SUBSTITUTE('Special Help Table'!$A1035,"and ",""))=0,LEN('Special Help Table'!$A1035)-LEN(SUBSTITUTE('Special Help Table'!$A1035,";",""))=0),'Special Help Table'!$A1035,AND(LEN('Special Help Table'!$A1035)-LEN(SUBSTITUTE('Special Help Table'!$A1035,",","")=1),LEN('Special Help Table'!$A1035)-LEN(SUBSTITUTE('Special Help Table'!$A1035," ","")=20),LEN('Special Help Table'!$A1035)-LEN(SUBSTITUTE('Special Help Table'!$A1035," and",""))=0,LEN('Special Help Table'!$A1035)-LEN(SUBSTITUTE('Special Help Table'!$A1035,",","",FIND(" ",'Special Help Table'!$A1035)+1))=0),RIGHT('Special Help Table'!$A1035,LEN('Special Help Table'!$A1035)-FIND(", ",'Special Help Table'!$A1035))&amp;" "&amp;LEFT('Special Help Table'!$A1035,FIND(",",'Special Help Table'!$A1035)-1),AND(LEN('Special Help Table'!$A1035)-LEN(SUBSTITUTE('Special Help Table'!$A1035,"editor",""))=6,LEN('Special Help Table'!$A1035)-LEN(SUBSTITUTE('Special Help Table'!$A1035,"(",""))=0,LEN('Special Help Table'!$A1035)-LEN(SUBSTITUTE('Special Help Table'!$A1035,"and",""))=3,LEN('Special Help Table'!$A1035)-LEN(SUBSTITUTE('Special Help Table'!$A1035,",",""))=1,LEN('Special Help Table'!$A1035)-LEN(SUBSTITUTE('Special Help Table'!$A1035," ",""))=3),'Special Help Table'!$A1035)</f>
        <v>0</v>
      </c>
      <c r="C1035" s="4" t="s">
        <v>1745</v>
      </c>
      <c r="D1035" s="2"/>
      <c r="E1035" s="2" t="s">
        <v>1692</v>
      </c>
      <c r="F1035" s="2"/>
      <c r="G1035" s="2"/>
      <c r="H1035" s="2"/>
      <c r="I1035" s="2"/>
      <c r="J1035" s="2"/>
      <c r="K1035" s="3"/>
      <c r="L1035" s="2"/>
      <c r="M1035" s="2" t="s">
        <v>802</v>
      </c>
      <c r="N1035" s="2" t="s">
        <v>1694</v>
      </c>
    </row>
    <row r="1036" spans="1:14" ht="15.75" customHeight="1" x14ac:dyDescent="0.35">
      <c r="A1036" s="2"/>
      <c r="B1036" s="2" cm="1">
        <f t="array" ref="B1036">_xlfn.IFS(AND(LEN('Special Help Table'!$A1036)-(LEN(SUBSTITUTE('Special Help Table'!$A1036,";","")))=0,LEN('Special Help Table'!$A1036)-LEN(SUBSTITUTE('Special Help Table'!$A1036,",",""))=1,LEN('Special Help Table'!$A1036)-LEN(SUBSTITUTE('Special Help Table'!$A1036,"and ",""))=0),MID('Special Help Table'!$A1036&amp;" "&amp;'Special Help Table'!$A1036,SEARCH(", ",'Special Help Table'!$A1036)+1,LEN('Special Help Table'!$A1036)),AND(LEN('Special Help Table'!$A1036)-(LEN(SUBSTITUTE('Special Help Table'!$A1036,";","")))=1,LEN('Special Help Table'!$A1036)-LEN(SUBSTITUTE('Special Help Table'!$A1036,"and ",""))=0),MID('Special Help Table'!$A1036,SEARCH(",",'Special Help Table'!$A1036)+1,(SEARCH(";",'Special Help Table'!$A1036)-1)-SEARCH(",",'Special Help Table'!$A1036))&amp;" "&amp;LEFT('Special Help Table'!$A1036,SEARCH(",",'Special Help Table'!$A1036)-1)&amp;";"&amp;RIGHT('Special Help Table'!$A1036,LEN('Special Help Table'!$A1036)-SEARCH(",",'Special Help Table'!$A1036,SEARCH(";",'Special Help Table'!$A1036)))&amp;" "&amp;MID('Special Help Table'!$A1036,SEARCH("; ",'Special Help Table'!$A1036)+2,SEARCH(",",'Special Help Table'!$A1036,SEARCH(";",'Special Help Table'!$A1036))-SEARCH(";",'Special Help Table'!$A1036)-2),AND(LEN('Special Help Table'!$A1036)-LEN(SUBSTITUTE('Special Help Table'!$A1036,"and ",""))=0,LEN('Special Help Table'!$A1036)-LEN(SUBSTITUTE('Special Help Table'!$A1036,";",""))=0),'Special Help Table'!$A1036,AND(LEN('Special Help Table'!$A1036)-LEN(SUBSTITUTE('Special Help Table'!$A1036,",","")=1),LEN('Special Help Table'!$A1036)-LEN(SUBSTITUTE('Special Help Table'!$A1036," ","")=20),LEN('Special Help Table'!$A1036)-LEN(SUBSTITUTE('Special Help Table'!$A1036," and",""))=0,LEN('Special Help Table'!$A1036)-LEN(SUBSTITUTE('Special Help Table'!$A1036,",","",FIND(" ",'Special Help Table'!$A1036)+1))=0),RIGHT('Special Help Table'!$A1036,LEN('Special Help Table'!$A1036)-FIND(", ",'Special Help Table'!$A1036))&amp;" "&amp;LEFT('Special Help Table'!$A1036,FIND(",",'Special Help Table'!$A1036)-1),AND(LEN('Special Help Table'!$A1036)-LEN(SUBSTITUTE('Special Help Table'!$A1036,"editor",""))=6,LEN('Special Help Table'!$A1036)-LEN(SUBSTITUTE('Special Help Table'!$A1036,"(",""))=0,LEN('Special Help Table'!$A1036)-LEN(SUBSTITUTE('Special Help Table'!$A1036,"and",""))=3,LEN('Special Help Table'!$A1036)-LEN(SUBSTITUTE('Special Help Table'!$A1036,",",""))=1,LEN('Special Help Table'!$A1036)-LEN(SUBSTITUTE('Special Help Table'!$A1036," ",""))=3),'Special Help Table'!$A1036)</f>
        <v>0</v>
      </c>
      <c r="C1036" s="4" t="s">
        <v>1746</v>
      </c>
      <c r="D1036" s="2"/>
      <c r="E1036" s="2" t="s">
        <v>1692</v>
      </c>
      <c r="F1036" s="2"/>
      <c r="G1036" s="2"/>
      <c r="H1036" s="2"/>
      <c r="I1036" s="2"/>
      <c r="J1036" s="2"/>
      <c r="K1036" s="3"/>
      <c r="L1036" s="2"/>
      <c r="M1036" s="2" t="s">
        <v>802</v>
      </c>
      <c r="N1036" s="2" t="s">
        <v>1694</v>
      </c>
    </row>
    <row r="1037" spans="1:14" ht="15.75" customHeight="1" x14ac:dyDescent="0.35">
      <c r="A1037" s="2"/>
      <c r="B1037" s="2" cm="1">
        <f t="array" ref="B1037">_xlfn.IFS(AND(LEN('Special Help Table'!$A1037)-(LEN(SUBSTITUTE('Special Help Table'!$A1037,";","")))=0,LEN('Special Help Table'!$A1037)-LEN(SUBSTITUTE('Special Help Table'!$A1037,",",""))=1,LEN('Special Help Table'!$A1037)-LEN(SUBSTITUTE('Special Help Table'!$A1037,"and ",""))=0),MID('Special Help Table'!$A1037&amp;" "&amp;'Special Help Table'!$A1037,SEARCH(", ",'Special Help Table'!$A1037)+1,LEN('Special Help Table'!$A1037)),AND(LEN('Special Help Table'!$A1037)-(LEN(SUBSTITUTE('Special Help Table'!$A1037,";","")))=1,LEN('Special Help Table'!$A1037)-LEN(SUBSTITUTE('Special Help Table'!$A1037,"and ",""))=0),MID('Special Help Table'!$A1037,SEARCH(",",'Special Help Table'!$A1037)+1,(SEARCH(";",'Special Help Table'!$A1037)-1)-SEARCH(",",'Special Help Table'!$A1037))&amp;" "&amp;LEFT('Special Help Table'!$A1037,SEARCH(",",'Special Help Table'!$A1037)-1)&amp;";"&amp;RIGHT('Special Help Table'!$A1037,LEN('Special Help Table'!$A1037)-SEARCH(",",'Special Help Table'!$A1037,SEARCH(";",'Special Help Table'!$A1037)))&amp;" "&amp;MID('Special Help Table'!$A1037,SEARCH("; ",'Special Help Table'!$A1037)+2,SEARCH(",",'Special Help Table'!$A1037,SEARCH(";",'Special Help Table'!$A1037))-SEARCH(";",'Special Help Table'!$A1037)-2),AND(LEN('Special Help Table'!$A1037)-LEN(SUBSTITUTE('Special Help Table'!$A1037,"and ",""))=0,LEN('Special Help Table'!$A1037)-LEN(SUBSTITUTE('Special Help Table'!$A1037,";",""))=0),'Special Help Table'!$A1037,AND(LEN('Special Help Table'!$A1037)-LEN(SUBSTITUTE('Special Help Table'!$A1037,",","")=1),LEN('Special Help Table'!$A1037)-LEN(SUBSTITUTE('Special Help Table'!$A1037," ","")=20),LEN('Special Help Table'!$A1037)-LEN(SUBSTITUTE('Special Help Table'!$A1037," and",""))=0,LEN('Special Help Table'!$A1037)-LEN(SUBSTITUTE('Special Help Table'!$A1037,",","",FIND(" ",'Special Help Table'!$A1037)+1))=0),RIGHT('Special Help Table'!$A1037,LEN('Special Help Table'!$A1037)-FIND(", ",'Special Help Table'!$A1037))&amp;" "&amp;LEFT('Special Help Table'!$A1037,FIND(",",'Special Help Table'!$A1037)-1),AND(LEN('Special Help Table'!$A1037)-LEN(SUBSTITUTE('Special Help Table'!$A1037,"editor",""))=6,LEN('Special Help Table'!$A1037)-LEN(SUBSTITUTE('Special Help Table'!$A1037,"(",""))=0,LEN('Special Help Table'!$A1037)-LEN(SUBSTITUTE('Special Help Table'!$A1037,"and",""))=3,LEN('Special Help Table'!$A1037)-LEN(SUBSTITUTE('Special Help Table'!$A1037,",",""))=1,LEN('Special Help Table'!$A1037)-LEN(SUBSTITUTE('Special Help Table'!$A1037," ",""))=3),'Special Help Table'!$A1037)</f>
        <v>0</v>
      </c>
      <c r="C1037" s="4" t="s">
        <v>1747</v>
      </c>
      <c r="D1037" s="2"/>
      <c r="E1037" s="2" t="s">
        <v>1692</v>
      </c>
      <c r="F1037" s="2"/>
      <c r="G1037" s="2"/>
      <c r="H1037" s="2"/>
      <c r="I1037" s="2"/>
      <c r="J1037" s="2"/>
      <c r="K1037" s="3"/>
      <c r="L1037" s="2"/>
      <c r="M1037" s="2" t="s">
        <v>802</v>
      </c>
      <c r="N1037" s="2" t="s">
        <v>1694</v>
      </c>
    </row>
    <row r="1038" spans="1:14" ht="15.75" customHeight="1" x14ac:dyDescent="0.35">
      <c r="A1038" s="2"/>
      <c r="B1038" s="2" cm="1">
        <f t="array" ref="B1038">_xlfn.IFS(AND(LEN('Special Help Table'!$A1038)-(LEN(SUBSTITUTE('Special Help Table'!$A1038,";","")))=0,LEN('Special Help Table'!$A1038)-LEN(SUBSTITUTE('Special Help Table'!$A1038,",",""))=1,LEN('Special Help Table'!$A1038)-LEN(SUBSTITUTE('Special Help Table'!$A1038,"and ",""))=0),MID('Special Help Table'!$A1038&amp;" "&amp;'Special Help Table'!$A1038,SEARCH(", ",'Special Help Table'!$A1038)+1,LEN('Special Help Table'!$A1038)),AND(LEN('Special Help Table'!$A1038)-(LEN(SUBSTITUTE('Special Help Table'!$A1038,";","")))=1,LEN('Special Help Table'!$A1038)-LEN(SUBSTITUTE('Special Help Table'!$A1038,"and ",""))=0),MID('Special Help Table'!$A1038,SEARCH(",",'Special Help Table'!$A1038)+1,(SEARCH(";",'Special Help Table'!$A1038)-1)-SEARCH(",",'Special Help Table'!$A1038))&amp;" "&amp;LEFT('Special Help Table'!$A1038,SEARCH(",",'Special Help Table'!$A1038)-1)&amp;";"&amp;RIGHT('Special Help Table'!$A1038,LEN('Special Help Table'!$A1038)-SEARCH(",",'Special Help Table'!$A1038,SEARCH(";",'Special Help Table'!$A1038)))&amp;" "&amp;MID('Special Help Table'!$A1038,SEARCH("; ",'Special Help Table'!$A1038)+2,SEARCH(",",'Special Help Table'!$A1038,SEARCH(";",'Special Help Table'!$A1038))-SEARCH(";",'Special Help Table'!$A1038)-2),AND(LEN('Special Help Table'!$A1038)-LEN(SUBSTITUTE('Special Help Table'!$A1038,"and ",""))=0,LEN('Special Help Table'!$A1038)-LEN(SUBSTITUTE('Special Help Table'!$A1038,";",""))=0),'Special Help Table'!$A1038,AND(LEN('Special Help Table'!$A1038)-LEN(SUBSTITUTE('Special Help Table'!$A1038,",","")=1),LEN('Special Help Table'!$A1038)-LEN(SUBSTITUTE('Special Help Table'!$A1038," ","")=20),LEN('Special Help Table'!$A1038)-LEN(SUBSTITUTE('Special Help Table'!$A1038," and",""))=0,LEN('Special Help Table'!$A1038)-LEN(SUBSTITUTE('Special Help Table'!$A1038,",","",FIND(" ",'Special Help Table'!$A1038)+1))=0),RIGHT('Special Help Table'!$A1038,LEN('Special Help Table'!$A1038)-FIND(", ",'Special Help Table'!$A1038))&amp;" "&amp;LEFT('Special Help Table'!$A1038,FIND(",",'Special Help Table'!$A1038)-1),AND(LEN('Special Help Table'!$A1038)-LEN(SUBSTITUTE('Special Help Table'!$A1038,"editor",""))=6,LEN('Special Help Table'!$A1038)-LEN(SUBSTITUTE('Special Help Table'!$A1038,"(",""))=0,LEN('Special Help Table'!$A1038)-LEN(SUBSTITUTE('Special Help Table'!$A1038,"and",""))=3,LEN('Special Help Table'!$A1038)-LEN(SUBSTITUTE('Special Help Table'!$A1038,",",""))=1,LEN('Special Help Table'!$A1038)-LEN(SUBSTITUTE('Special Help Table'!$A1038," ",""))=3),'Special Help Table'!$A1038)</f>
        <v>0</v>
      </c>
      <c r="C1038" s="4" t="s">
        <v>1748</v>
      </c>
      <c r="D1038" s="2"/>
      <c r="E1038" s="2" t="s">
        <v>1692</v>
      </c>
      <c r="F1038" s="2"/>
      <c r="G1038" s="2"/>
      <c r="H1038" s="2"/>
      <c r="I1038" s="2"/>
      <c r="J1038" s="2"/>
      <c r="K1038" s="3"/>
      <c r="L1038" s="2"/>
      <c r="M1038" s="2" t="s">
        <v>802</v>
      </c>
      <c r="N1038" s="2" t="s">
        <v>1694</v>
      </c>
    </row>
    <row r="1039" spans="1:14" ht="15.75" customHeight="1" x14ac:dyDescent="0.35">
      <c r="A1039" s="2"/>
      <c r="B1039" s="2" cm="1">
        <f t="array" ref="B1039">_xlfn.IFS(AND(LEN('Special Help Table'!$A1039)-(LEN(SUBSTITUTE('Special Help Table'!$A1039,";","")))=0,LEN('Special Help Table'!$A1039)-LEN(SUBSTITUTE('Special Help Table'!$A1039,",",""))=1,LEN('Special Help Table'!$A1039)-LEN(SUBSTITUTE('Special Help Table'!$A1039,"and ",""))=0),MID('Special Help Table'!$A1039&amp;" "&amp;'Special Help Table'!$A1039,SEARCH(", ",'Special Help Table'!$A1039)+1,LEN('Special Help Table'!$A1039)),AND(LEN('Special Help Table'!$A1039)-(LEN(SUBSTITUTE('Special Help Table'!$A1039,";","")))=1,LEN('Special Help Table'!$A1039)-LEN(SUBSTITUTE('Special Help Table'!$A1039,"and ",""))=0),MID('Special Help Table'!$A1039,SEARCH(",",'Special Help Table'!$A1039)+1,(SEARCH(";",'Special Help Table'!$A1039)-1)-SEARCH(",",'Special Help Table'!$A1039))&amp;" "&amp;LEFT('Special Help Table'!$A1039,SEARCH(",",'Special Help Table'!$A1039)-1)&amp;";"&amp;RIGHT('Special Help Table'!$A1039,LEN('Special Help Table'!$A1039)-SEARCH(",",'Special Help Table'!$A1039,SEARCH(";",'Special Help Table'!$A1039)))&amp;" "&amp;MID('Special Help Table'!$A1039,SEARCH("; ",'Special Help Table'!$A1039)+2,SEARCH(",",'Special Help Table'!$A1039,SEARCH(";",'Special Help Table'!$A1039))-SEARCH(";",'Special Help Table'!$A1039)-2),AND(LEN('Special Help Table'!$A1039)-LEN(SUBSTITUTE('Special Help Table'!$A1039,"and ",""))=0,LEN('Special Help Table'!$A1039)-LEN(SUBSTITUTE('Special Help Table'!$A1039,";",""))=0),'Special Help Table'!$A1039,AND(LEN('Special Help Table'!$A1039)-LEN(SUBSTITUTE('Special Help Table'!$A1039,",","")=1),LEN('Special Help Table'!$A1039)-LEN(SUBSTITUTE('Special Help Table'!$A1039," ","")=20),LEN('Special Help Table'!$A1039)-LEN(SUBSTITUTE('Special Help Table'!$A1039," and",""))=0,LEN('Special Help Table'!$A1039)-LEN(SUBSTITUTE('Special Help Table'!$A1039,",","",FIND(" ",'Special Help Table'!$A1039)+1))=0),RIGHT('Special Help Table'!$A1039,LEN('Special Help Table'!$A1039)-FIND(", ",'Special Help Table'!$A1039))&amp;" "&amp;LEFT('Special Help Table'!$A1039,FIND(",",'Special Help Table'!$A1039)-1),AND(LEN('Special Help Table'!$A1039)-LEN(SUBSTITUTE('Special Help Table'!$A1039,"editor",""))=6,LEN('Special Help Table'!$A1039)-LEN(SUBSTITUTE('Special Help Table'!$A1039,"(",""))=0,LEN('Special Help Table'!$A1039)-LEN(SUBSTITUTE('Special Help Table'!$A1039,"and",""))=3,LEN('Special Help Table'!$A1039)-LEN(SUBSTITUTE('Special Help Table'!$A1039,",",""))=1,LEN('Special Help Table'!$A1039)-LEN(SUBSTITUTE('Special Help Table'!$A1039," ",""))=3),'Special Help Table'!$A1039)</f>
        <v>0</v>
      </c>
      <c r="C1039" s="4" t="s">
        <v>1749</v>
      </c>
      <c r="D1039" s="2"/>
      <c r="E1039" s="2" t="s">
        <v>1692</v>
      </c>
      <c r="F1039" s="2"/>
      <c r="G1039" s="2"/>
      <c r="H1039" s="2"/>
      <c r="I1039" s="2"/>
      <c r="J1039" s="2"/>
      <c r="K1039" s="3"/>
      <c r="L1039" s="2"/>
      <c r="M1039" s="2" t="s">
        <v>802</v>
      </c>
      <c r="N1039" s="2" t="s">
        <v>1694</v>
      </c>
    </row>
    <row r="1040" spans="1:14" ht="15.75" customHeight="1" x14ac:dyDescent="0.35">
      <c r="A1040" s="2"/>
      <c r="B1040" s="2" cm="1">
        <f t="array" ref="B1040">_xlfn.IFS(AND(LEN('Special Help Table'!$A1040)-(LEN(SUBSTITUTE('Special Help Table'!$A1040,";","")))=0,LEN('Special Help Table'!$A1040)-LEN(SUBSTITUTE('Special Help Table'!$A1040,",",""))=1,LEN('Special Help Table'!$A1040)-LEN(SUBSTITUTE('Special Help Table'!$A1040,"and ",""))=0),MID('Special Help Table'!$A1040&amp;" "&amp;'Special Help Table'!$A1040,SEARCH(", ",'Special Help Table'!$A1040)+1,LEN('Special Help Table'!$A1040)),AND(LEN('Special Help Table'!$A1040)-(LEN(SUBSTITUTE('Special Help Table'!$A1040,";","")))=1,LEN('Special Help Table'!$A1040)-LEN(SUBSTITUTE('Special Help Table'!$A1040,"and ",""))=0),MID('Special Help Table'!$A1040,SEARCH(",",'Special Help Table'!$A1040)+1,(SEARCH(";",'Special Help Table'!$A1040)-1)-SEARCH(",",'Special Help Table'!$A1040))&amp;" "&amp;LEFT('Special Help Table'!$A1040,SEARCH(",",'Special Help Table'!$A1040)-1)&amp;";"&amp;RIGHT('Special Help Table'!$A1040,LEN('Special Help Table'!$A1040)-SEARCH(",",'Special Help Table'!$A1040,SEARCH(";",'Special Help Table'!$A1040)))&amp;" "&amp;MID('Special Help Table'!$A1040,SEARCH("; ",'Special Help Table'!$A1040)+2,SEARCH(",",'Special Help Table'!$A1040,SEARCH(";",'Special Help Table'!$A1040))-SEARCH(";",'Special Help Table'!$A1040)-2),AND(LEN('Special Help Table'!$A1040)-LEN(SUBSTITUTE('Special Help Table'!$A1040,"and ",""))=0,LEN('Special Help Table'!$A1040)-LEN(SUBSTITUTE('Special Help Table'!$A1040,";",""))=0),'Special Help Table'!$A1040,AND(LEN('Special Help Table'!$A1040)-LEN(SUBSTITUTE('Special Help Table'!$A1040,",","")=1),LEN('Special Help Table'!$A1040)-LEN(SUBSTITUTE('Special Help Table'!$A1040," ","")=20),LEN('Special Help Table'!$A1040)-LEN(SUBSTITUTE('Special Help Table'!$A1040," and",""))=0,LEN('Special Help Table'!$A1040)-LEN(SUBSTITUTE('Special Help Table'!$A1040,",","",FIND(" ",'Special Help Table'!$A1040)+1))=0),RIGHT('Special Help Table'!$A1040,LEN('Special Help Table'!$A1040)-FIND(", ",'Special Help Table'!$A1040))&amp;" "&amp;LEFT('Special Help Table'!$A1040,FIND(",",'Special Help Table'!$A1040)-1),AND(LEN('Special Help Table'!$A1040)-LEN(SUBSTITUTE('Special Help Table'!$A1040,"editor",""))=6,LEN('Special Help Table'!$A1040)-LEN(SUBSTITUTE('Special Help Table'!$A1040,"(",""))=0,LEN('Special Help Table'!$A1040)-LEN(SUBSTITUTE('Special Help Table'!$A1040,"and",""))=3,LEN('Special Help Table'!$A1040)-LEN(SUBSTITUTE('Special Help Table'!$A1040,",",""))=1,LEN('Special Help Table'!$A1040)-LEN(SUBSTITUTE('Special Help Table'!$A1040," ",""))=3),'Special Help Table'!$A1040)</f>
        <v>0</v>
      </c>
      <c r="C1040" s="4" t="s">
        <v>1750</v>
      </c>
      <c r="D1040" s="2"/>
      <c r="E1040" s="2" t="s">
        <v>1692</v>
      </c>
      <c r="F1040" s="2"/>
      <c r="G1040" s="2"/>
      <c r="H1040" s="2"/>
      <c r="I1040" s="2"/>
      <c r="J1040" s="2"/>
      <c r="K1040" s="3"/>
      <c r="L1040" s="2"/>
      <c r="M1040" s="2" t="s">
        <v>802</v>
      </c>
      <c r="N1040" s="2" t="s">
        <v>1694</v>
      </c>
    </row>
    <row r="1041" spans="1:14" ht="15.75" customHeight="1" x14ac:dyDescent="0.35">
      <c r="A1041" s="2"/>
      <c r="B1041" s="2" cm="1">
        <f t="array" ref="B1041">_xlfn.IFS(AND(LEN('Special Help Table'!$A1041)-(LEN(SUBSTITUTE('Special Help Table'!$A1041,";","")))=0,LEN('Special Help Table'!$A1041)-LEN(SUBSTITUTE('Special Help Table'!$A1041,",",""))=1,LEN('Special Help Table'!$A1041)-LEN(SUBSTITUTE('Special Help Table'!$A1041,"and ",""))=0),MID('Special Help Table'!$A1041&amp;" "&amp;'Special Help Table'!$A1041,SEARCH(", ",'Special Help Table'!$A1041)+1,LEN('Special Help Table'!$A1041)),AND(LEN('Special Help Table'!$A1041)-(LEN(SUBSTITUTE('Special Help Table'!$A1041,";","")))=1,LEN('Special Help Table'!$A1041)-LEN(SUBSTITUTE('Special Help Table'!$A1041,"and ",""))=0),MID('Special Help Table'!$A1041,SEARCH(",",'Special Help Table'!$A1041)+1,(SEARCH(";",'Special Help Table'!$A1041)-1)-SEARCH(",",'Special Help Table'!$A1041))&amp;" "&amp;LEFT('Special Help Table'!$A1041,SEARCH(",",'Special Help Table'!$A1041)-1)&amp;";"&amp;RIGHT('Special Help Table'!$A1041,LEN('Special Help Table'!$A1041)-SEARCH(",",'Special Help Table'!$A1041,SEARCH(";",'Special Help Table'!$A1041)))&amp;" "&amp;MID('Special Help Table'!$A1041,SEARCH("; ",'Special Help Table'!$A1041)+2,SEARCH(",",'Special Help Table'!$A1041,SEARCH(";",'Special Help Table'!$A1041))-SEARCH(";",'Special Help Table'!$A1041)-2),AND(LEN('Special Help Table'!$A1041)-LEN(SUBSTITUTE('Special Help Table'!$A1041,"and ",""))=0,LEN('Special Help Table'!$A1041)-LEN(SUBSTITUTE('Special Help Table'!$A1041,";",""))=0),'Special Help Table'!$A1041,AND(LEN('Special Help Table'!$A1041)-LEN(SUBSTITUTE('Special Help Table'!$A1041,",","")=1),LEN('Special Help Table'!$A1041)-LEN(SUBSTITUTE('Special Help Table'!$A1041," ","")=20),LEN('Special Help Table'!$A1041)-LEN(SUBSTITUTE('Special Help Table'!$A1041," and",""))=0,LEN('Special Help Table'!$A1041)-LEN(SUBSTITUTE('Special Help Table'!$A1041,",","",FIND(" ",'Special Help Table'!$A1041)+1))=0),RIGHT('Special Help Table'!$A1041,LEN('Special Help Table'!$A1041)-FIND(", ",'Special Help Table'!$A1041))&amp;" "&amp;LEFT('Special Help Table'!$A1041,FIND(",",'Special Help Table'!$A1041)-1),AND(LEN('Special Help Table'!$A1041)-LEN(SUBSTITUTE('Special Help Table'!$A1041,"editor",""))=6,LEN('Special Help Table'!$A1041)-LEN(SUBSTITUTE('Special Help Table'!$A1041,"(",""))=0,LEN('Special Help Table'!$A1041)-LEN(SUBSTITUTE('Special Help Table'!$A1041,"and",""))=3,LEN('Special Help Table'!$A1041)-LEN(SUBSTITUTE('Special Help Table'!$A1041,",",""))=1,LEN('Special Help Table'!$A1041)-LEN(SUBSTITUTE('Special Help Table'!$A1041," ",""))=3),'Special Help Table'!$A1041)</f>
        <v>0</v>
      </c>
      <c r="C1041" s="4" t="s">
        <v>1751</v>
      </c>
      <c r="D1041" s="2"/>
      <c r="E1041" s="2" t="s">
        <v>1692</v>
      </c>
      <c r="F1041" s="2"/>
      <c r="G1041" s="2"/>
      <c r="H1041" s="2"/>
      <c r="I1041" s="2"/>
      <c r="J1041" s="2"/>
      <c r="K1041" s="3"/>
      <c r="L1041" s="2"/>
      <c r="M1041" s="2" t="s">
        <v>802</v>
      </c>
      <c r="N1041" s="2" t="s">
        <v>1694</v>
      </c>
    </row>
    <row r="1042" spans="1:14" ht="15.75" customHeight="1" x14ac:dyDescent="0.35">
      <c r="A1042" s="2"/>
      <c r="B1042" s="2" cm="1">
        <f t="array" ref="B1042">_xlfn.IFS(AND(LEN('Special Help Table'!$A1042)-(LEN(SUBSTITUTE('Special Help Table'!$A1042,";","")))=0,LEN('Special Help Table'!$A1042)-LEN(SUBSTITUTE('Special Help Table'!$A1042,",",""))=1,LEN('Special Help Table'!$A1042)-LEN(SUBSTITUTE('Special Help Table'!$A1042,"and ",""))=0),MID('Special Help Table'!$A1042&amp;" "&amp;'Special Help Table'!$A1042,SEARCH(", ",'Special Help Table'!$A1042)+1,LEN('Special Help Table'!$A1042)),AND(LEN('Special Help Table'!$A1042)-(LEN(SUBSTITUTE('Special Help Table'!$A1042,";","")))=1,LEN('Special Help Table'!$A1042)-LEN(SUBSTITUTE('Special Help Table'!$A1042,"and ",""))=0),MID('Special Help Table'!$A1042,SEARCH(",",'Special Help Table'!$A1042)+1,(SEARCH(";",'Special Help Table'!$A1042)-1)-SEARCH(",",'Special Help Table'!$A1042))&amp;" "&amp;LEFT('Special Help Table'!$A1042,SEARCH(",",'Special Help Table'!$A1042)-1)&amp;";"&amp;RIGHT('Special Help Table'!$A1042,LEN('Special Help Table'!$A1042)-SEARCH(",",'Special Help Table'!$A1042,SEARCH(";",'Special Help Table'!$A1042)))&amp;" "&amp;MID('Special Help Table'!$A1042,SEARCH("; ",'Special Help Table'!$A1042)+2,SEARCH(",",'Special Help Table'!$A1042,SEARCH(";",'Special Help Table'!$A1042))-SEARCH(";",'Special Help Table'!$A1042)-2),AND(LEN('Special Help Table'!$A1042)-LEN(SUBSTITUTE('Special Help Table'!$A1042,"and ",""))=0,LEN('Special Help Table'!$A1042)-LEN(SUBSTITUTE('Special Help Table'!$A1042,";",""))=0),'Special Help Table'!$A1042,AND(LEN('Special Help Table'!$A1042)-LEN(SUBSTITUTE('Special Help Table'!$A1042,",","")=1),LEN('Special Help Table'!$A1042)-LEN(SUBSTITUTE('Special Help Table'!$A1042," ","")=20),LEN('Special Help Table'!$A1042)-LEN(SUBSTITUTE('Special Help Table'!$A1042," and",""))=0,LEN('Special Help Table'!$A1042)-LEN(SUBSTITUTE('Special Help Table'!$A1042,",","",FIND(" ",'Special Help Table'!$A1042)+1))=0),RIGHT('Special Help Table'!$A1042,LEN('Special Help Table'!$A1042)-FIND(", ",'Special Help Table'!$A1042))&amp;" "&amp;LEFT('Special Help Table'!$A1042,FIND(",",'Special Help Table'!$A1042)-1),AND(LEN('Special Help Table'!$A1042)-LEN(SUBSTITUTE('Special Help Table'!$A1042,"editor",""))=6,LEN('Special Help Table'!$A1042)-LEN(SUBSTITUTE('Special Help Table'!$A1042,"(",""))=0,LEN('Special Help Table'!$A1042)-LEN(SUBSTITUTE('Special Help Table'!$A1042,"and",""))=3,LEN('Special Help Table'!$A1042)-LEN(SUBSTITUTE('Special Help Table'!$A1042,",",""))=1,LEN('Special Help Table'!$A1042)-LEN(SUBSTITUTE('Special Help Table'!$A1042," ",""))=3),'Special Help Table'!$A1042)</f>
        <v>0</v>
      </c>
      <c r="C1042" s="4" t="s">
        <v>1752</v>
      </c>
      <c r="D1042" s="2"/>
      <c r="E1042" s="2" t="s">
        <v>1692</v>
      </c>
      <c r="F1042" s="2"/>
      <c r="G1042" s="2"/>
      <c r="H1042" s="2"/>
      <c r="I1042" s="2"/>
      <c r="J1042" s="2"/>
      <c r="K1042" s="3">
        <v>40858</v>
      </c>
      <c r="L1042" s="2"/>
      <c r="M1042" s="2" t="s">
        <v>802</v>
      </c>
      <c r="N1042" s="2" t="s">
        <v>1694</v>
      </c>
    </row>
    <row r="1043" spans="1:14" ht="15.75" customHeight="1" x14ac:dyDescent="0.35">
      <c r="A1043" s="2"/>
      <c r="B1043" s="2" cm="1">
        <f t="array" ref="B1043">_xlfn.IFS(AND(LEN('Special Help Table'!$A1043)-(LEN(SUBSTITUTE('Special Help Table'!$A1043,";","")))=0,LEN('Special Help Table'!$A1043)-LEN(SUBSTITUTE('Special Help Table'!$A1043,",",""))=1,LEN('Special Help Table'!$A1043)-LEN(SUBSTITUTE('Special Help Table'!$A1043,"and ",""))=0),MID('Special Help Table'!$A1043&amp;" "&amp;'Special Help Table'!$A1043,SEARCH(", ",'Special Help Table'!$A1043)+1,LEN('Special Help Table'!$A1043)),AND(LEN('Special Help Table'!$A1043)-(LEN(SUBSTITUTE('Special Help Table'!$A1043,";","")))=1,LEN('Special Help Table'!$A1043)-LEN(SUBSTITUTE('Special Help Table'!$A1043,"and ",""))=0),MID('Special Help Table'!$A1043,SEARCH(",",'Special Help Table'!$A1043)+1,(SEARCH(";",'Special Help Table'!$A1043)-1)-SEARCH(",",'Special Help Table'!$A1043))&amp;" "&amp;LEFT('Special Help Table'!$A1043,SEARCH(",",'Special Help Table'!$A1043)-1)&amp;";"&amp;RIGHT('Special Help Table'!$A1043,LEN('Special Help Table'!$A1043)-SEARCH(",",'Special Help Table'!$A1043,SEARCH(";",'Special Help Table'!$A1043)))&amp;" "&amp;MID('Special Help Table'!$A1043,SEARCH("; ",'Special Help Table'!$A1043)+2,SEARCH(",",'Special Help Table'!$A1043,SEARCH(";",'Special Help Table'!$A1043))-SEARCH(";",'Special Help Table'!$A1043)-2),AND(LEN('Special Help Table'!$A1043)-LEN(SUBSTITUTE('Special Help Table'!$A1043,"and ",""))=0,LEN('Special Help Table'!$A1043)-LEN(SUBSTITUTE('Special Help Table'!$A1043,";",""))=0),'Special Help Table'!$A1043,AND(LEN('Special Help Table'!$A1043)-LEN(SUBSTITUTE('Special Help Table'!$A1043,",","")=1),LEN('Special Help Table'!$A1043)-LEN(SUBSTITUTE('Special Help Table'!$A1043," ","")=20),LEN('Special Help Table'!$A1043)-LEN(SUBSTITUTE('Special Help Table'!$A1043," and",""))=0,LEN('Special Help Table'!$A1043)-LEN(SUBSTITUTE('Special Help Table'!$A1043,",","",FIND(" ",'Special Help Table'!$A1043)+1))=0),RIGHT('Special Help Table'!$A1043,LEN('Special Help Table'!$A1043)-FIND(", ",'Special Help Table'!$A1043))&amp;" "&amp;LEFT('Special Help Table'!$A1043,FIND(",",'Special Help Table'!$A1043)-1),AND(LEN('Special Help Table'!$A1043)-LEN(SUBSTITUTE('Special Help Table'!$A1043,"editor",""))=6,LEN('Special Help Table'!$A1043)-LEN(SUBSTITUTE('Special Help Table'!$A1043,"(",""))=0,LEN('Special Help Table'!$A1043)-LEN(SUBSTITUTE('Special Help Table'!$A1043,"and",""))=3,LEN('Special Help Table'!$A1043)-LEN(SUBSTITUTE('Special Help Table'!$A1043,",",""))=1,LEN('Special Help Table'!$A1043)-LEN(SUBSTITUTE('Special Help Table'!$A1043," ",""))=3),'Special Help Table'!$A1043)</f>
        <v>0</v>
      </c>
      <c r="C1043" s="4" t="s">
        <v>1753</v>
      </c>
      <c r="D1043" s="2"/>
      <c r="E1043" s="2" t="s">
        <v>1692</v>
      </c>
      <c r="F1043" s="2"/>
      <c r="G1043" s="2"/>
      <c r="H1043" s="2"/>
      <c r="I1043" s="2"/>
      <c r="J1043" s="2"/>
      <c r="K1043" s="3"/>
      <c r="L1043" s="2"/>
      <c r="M1043" s="2" t="s">
        <v>802</v>
      </c>
      <c r="N1043" s="2" t="s">
        <v>1694</v>
      </c>
    </row>
    <row r="1044" spans="1:14" ht="15.75" customHeight="1" x14ac:dyDescent="0.35">
      <c r="A1044" s="2"/>
      <c r="B1044" s="2" cm="1">
        <f t="array" ref="B1044">_xlfn.IFS(AND(LEN('Special Help Table'!$A1044)-(LEN(SUBSTITUTE('Special Help Table'!$A1044,";","")))=0,LEN('Special Help Table'!$A1044)-LEN(SUBSTITUTE('Special Help Table'!$A1044,",",""))=1,LEN('Special Help Table'!$A1044)-LEN(SUBSTITUTE('Special Help Table'!$A1044,"and ",""))=0),MID('Special Help Table'!$A1044&amp;" "&amp;'Special Help Table'!$A1044,SEARCH(", ",'Special Help Table'!$A1044)+1,LEN('Special Help Table'!$A1044)),AND(LEN('Special Help Table'!$A1044)-(LEN(SUBSTITUTE('Special Help Table'!$A1044,";","")))=1,LEN('Special Help Table'!$A1044)-LEN(SUBSTITUTE('Special Help Table'!$A1044,"and ",""))=0),MID('Special Help Table'!$A1044,SEARCH(",",'Special Help Table'!$A1044)+1,(SEARCH(";",'Special Help Table'!$A1044)-1)-SEARCH(",",'Special Help Table'!$A1044))&amp;" "&amp;LEFT('Special Help Table'!$A1044,SEARCH(",",'Special Help Table'!$A1044)-1)&amp;";"&amp;RIGHT('Special Help Table'!$A1044,LEN('Special Help Table'!$A1044)-SEARCH(",",'Special Help Table'!$A1044,SEARCH(";",'Special Help Table'!$A1044)))&amp;" "&amp;MID('Special Help Table'!$A1044,SEARCH("; ",'Special Help Table'!$A1044)+2,SEARCH(",",'Special Help Table'!$A1044,SEARCH(";",'Special Help Table'!$A1044))-SEARCH(";",'Special Help Table'!$A1044)-2),AND(LEN('Special Help Table'!$A1044)-LEN(SUBSTITUTE('Special Help Table'!$A1044,"and ",""))=0,LEN('Special Help Table'!$A1044)-LEN(SUBSTITUTE('Special Help Table'!$A1044,";",""))=0),'Special Help Table'!$A1044,AND(LEN('Special Help Table'!$A1044)-LEN(SUBSTITUTE('Special Help Table'!$A1044,",","")=1),LEN('Special Help Table'!$A1044)-LEN(SUBSTITUTE('Special Help Table'!$A1044," ","")=20),LEN('Special Help Table'!$A1044)-LEN(SUBSTITUTE('Special Help Table'!$A1044," and",""))=0,LEN('Special Help Table'!$A1044)-LEN(SUBSTITUTE('Special Help Table'!$A1044,",","",FIND(" ",'Special Help Table'!$A1044)+1))=0),RIGHT('Special Help Table'!$A1044,LEN('Special Help Table'!$A1044)-FIND(", ",'Special Help Table'!$A1044))&amp;" "&amp;LEFT('Special Help Table'!$A1044,FIND(",",'Special Help Table'!$A1044)-1),AND(LEN('Special Help Table'!$A1044)-LEN(SUBSTITUTE('Special Help Table'!$A1044,"editor",""))=6,LEN('Special Help Table'!$A1044)-LEN(SUBSTITUTE('Special Help Table'!$A1044,"(",""))=0,LEN('Special Help Table'!$A1044)-LEN(SUBSTITUTE('Special Help Table'!$A1044,"and",""))=3,LEN('Special Help Table'!$A1044)-LEN(SUBSTITUTE('Special Help Table'!$A1044,",",""))=1,LEN('Special Help Table'!$A1044)-LEN(SUBSTITUTE('Special Help Table'!$A1044," ",""))=3),'Special Help Table'!$A1044)</f>
        <v>0</v>
      </c>
      <c r="C1044" s="4" t="s">
        <v>1754</v>
      </c>
      <c r="D1044" s="2"/>
      <c r="E1044" s="2" t="s">
        <v>1692</v>
      </c>
      <c r="F1044" s="2"/>
      <c r="G1044" s="2"/>
      <c r="H1044" s="2"/>
      <c r="I1044" s="2"/>
      <c r="J1044" s="2"/>
      <c r="K1044" s="3"/>
      <c r="L1044" s="2"/>
      <c r="M1044" s="2" t="s">
        <v>802</v>
      </c>
      <c r="N1044" s="2" t="s">
        <v>1694</v>
      </c>
    </row>
    <row r="1045" spans="1:14" ht="15.75" customHeight="1" x14ac:dyDescent="0.35">
      <c r="A1045" s="2"/>
      <c r="B1045" s="2" cm="1">
        <f t="array" ref="B1045">_xlfn.IFS(AND(LEN('Special Help Table'!$A1045)-(LEN(SUBSTITUTE('Special Help Table'!$A1045,";","")))=0,LEN('Special Help Table'!$A1045)-LEN(SUBSTITUTE('Special Help Table'!$A1045,",",""))=1,LEN('Special Help Table'!$A1045)-LEN(SUBSTITUTE('Special Help Table'!$A1045,"and ",""))=0),MID('Special Help Table'!$A1045&amp;" "&amp;'Special Help Table'!$A1045,SEARCH(", ",'Special Help Table'!$A1045)+1,LEN('Special Help Table'!$A1045)),AND(LEN('Special Help Table'!$A1045)-(LEN(SUBSTITUTE('Special Help Table'!$A1045,";","")))=1,LEN('Special Help Table'!$A1045)-LEN(SUBSTITUTE('Special Help Table'!$A1045,"and ",""))=0),MID('Special Help Table'!$A1045,SEARCH(",",'Special Help Table'!$A1045)+1,(SEARCH(";",'Special Help Table'!$A1045)-1)-SEARCH(",",'Special Help Table'!$A1045))&amp;" "&amp;LEFT('Special Help Table'!$A1045,SEARCH(",",'Special Help Table'!$A1045)-1)&amp;";"&amp;RIGHT('Special Help Table'!$A1045,LEN('Special Help Table'!$A1045)-SEARCH(",",'Special Help Table'!$A1045,SEARCH(";",'Special Help Table'!$A1045)))&amp;" "&amp;MID('Special Help Table'!$A1045,SEARCH("; ",'Special Help Table'!$A1045)+2,SEARCH(",",'Special Help Table'!$A1045,SEARCH(";",'Special Help Table'!$A1045))-SEARCH(";",'Special Help Table'!$A1045)-2),AND(LEN('Special Help Table'!$A1045)-LEN(SUBSTITUTE('Special Help Table'!$A1045,"and ",""))=0,LEN('Special Help Table'!$A1045)-LEN(SUBSTITUTE('Special Help Table'!$A1045,";",""))=0),'Special Help Table'!$A1045,AND(LEN('Special Help Table'!$A1045)-LEN(SUBSTITUTE('Special Help Table'!$A1045,",","")=1),LEN('Special Help Table'!$A1045)-LEN(SUBSTITUTE('Special Help Table'!$A1045," ","")=20),LEN('Special Help Table'!$A1045)-LEN(SUBSTITUTE('Special Help Table'!$A1045," and",""))=0,LEN('Special Help Table'!$A1045)-LEN(SUBSTITUTE('Special Help Table'!$A1045,",","",FIND(" ",'Special Help Table'!$A1045)+1))=0),RIGHT('Special Help Table'!$A1045,LEN('Special Help Table'!$A1045)-FIND(", ",'Special Help Table'!$A1045))&amp;" "&amp;LEFT('Special Help Table'!$A1045,FIND(",",'Special Help Table'!$A1045)-1),AND(LEN('Special Help Table'!$A1045)-LEN(SUBSTITUTE('Special Help Table'!$A1045,"editor",""))=6,LEN('Special Help Table'!$A1045)-LEN(SUBSTITUTE('Special Help Table'!$A1045,"(",""))=0,LEN('Special Help Table'!$A1045)-LEN(SUBSTITUTE('Special Help Table'!$A1045,"and",""))=3,LEN('Special Help Table'!$A1045)-LEN(SUBSTITUTE('Special Help Table'!$A1045,",",""))=1,LEN('Special Help Table'!$A1045)-LEN(SUBSTITUTE('Special Help Table'!$A1045," ",""))=3),'Special Help Table'!$A1045)</f>
        <v>0</v>
      </c>
      <c r="C1045" s="4" t="s">
        <v>1755</v>
      </c>
      <c r="D1045" s="2"/>
      <c r="E1045" s="2" t="s">
        <v>1692</v>
      </c>
      <c r="F1045" s="2"/>
      <c r="G1045" s="2"/>
      <c r="H1045" s="2"/>
      <c r="I1045" s="2"/>
      <c r="J1045" s="2"/>
      <c r="K1045" s="3"/>
      <c r="L1045" s="2"/>
      <c r="M1045" s="2" t="s">
        <v>802</v>
      </c>
      <c r="N1045" s="2" t="s">
        <v>1694</v>
      </c>
    </row>
    <row r="1046" spans="1:14" ht="15.75" customHeight="1" x14ac:dyDescent="0.35">
      <c r="A1046" s="2"/>
      <c r="B1046" s="2" cm="1">
        <f t="array" ref="B1046">_xlfn.IFS(AND(LEN('Special Help Table'!$A1046)-(LEN(SUBSTITUTE('Special Help Table'!$A1046,";","")))=0,LEN('Special Help Table'!$A1046)-LEN(SUBSTITUTE('Special Help Table'!$A1046,",",""))=1,LEN('Special Help Table'!$A1046)-LEN(SUBSTITUTE('Special Help Table'!$A1046,"and ",""))=0),MID('Special Help Table'!$A1046&amp;" "&amp;'Special Help Table'!$A1046,SEARCH(", ",'Special Help Table'!$A1046)+1,LEN('Special Help Table'!$A1046)),AND(LEN('Special Help Table'!$A1046)-(LEN(SUBSTITUTE('Special Help Table'!$A1046,";","")))=1,LEN('Special Help Table'!$A1046)-LEN(SUBSTITUTE('Special Help Table'!$A1046,"and ",""))=0),MID('Special Help Table'!$A1046,SEARCH(",",'Special Help Table'!$A1046)+1,(SEARCH(";",'Special Help Table'!$A1046)-1)-SEARCH(",",'Special Help Table'!$A1046))&amp;" "&amp;LEFT('Special Help Table'!$A1046,SEARCH(",",'Special Help Table'!$A1046)-1)&amp;";"&amp;RIGHT('Special Help Table'!$A1046,LEN('Special Help Table'!$A1046)-SEARCH(",",'Special Help Table'!$A1046,SEARCH(";",'Special Help Table'!$A1046)))&amp;" "&amp;MID('Special Help Table'!$A1046,SEARCH("; ",'Special Help Table'!$A1046)+2,SEARCH(",",'Special Help Table'!$A1046,SEARCH(";",'Special Help Table'!$A1046))-SEARCH(";",'Special Help Table'!$A1046)-2),AND(LEN('Special Help Table'!$A1046)-LEN(SUBSTITUTE('Special Help Table'!$A1046,"and ",""))=0,LEN('Special Help Table'!$A1046)-LEN(SUBSTITUTE('Special Help Table'!$A1046,";",""))=0),'Special Help Table'!$A1046,AND(LEN('Special Help Table'!$A1046)-LEN(SUBSTITUTE('Special Help Table'!$A1046,",","")=1),LEN('Special Help Table'!$A1046)-LEN(SUBSTITUTE('Special Help Table'!$A1046," ","")=20),LEN('Special Help Table'!$A1046)-LEN(SUBSTITUTE('Special Help Table'!$A1046," and",""))=0,LEN('Special Help Table'!$A1046)-LEN(SUBSTITUTE('Special Help Table'!$A1046,",","",FIND(" ",'Special Help Table'!$A1046)+1))=0),RIGHT('Special Help Table'!$A1046,LEN('Special Help Table'!$A1046)-FIND(", ",'Special Help Table'!$A1046))&amp;" "&amp;LEFT('Special Help Table'!$A1046,FIND(",",'Special Help Table'!$A1046)-1),AND(LEN('Special Help Table'!$A1046)-LEN(SUBSTITUTE('Special Help Table'!$A1046,"editor",""))=6,LEN('Special Help Table'!$A1046)-LEN(SUBSTITUTE('Special Help Table'!$A1046,"(",""))=0,LEN('Special Help Table'!$A1046)-LEN(SUBSTITUTE('Special Help Table'!$A1046,"and",""))=3,LEN('Special Help Table'!$A1046)-LEN(SUBSTITUTE('Special Help Table'!$A1046,",",""))=1,LEN('Special Help Table'!$A1046)-LEN(SUBSTITUTE('Special Help Table'!$A1046," ",""))=3),'Special Help Table'!$A1046)</f>
        <v>0</v>
      </c>
      <c r="C1046" s="4" t="s">
        <v>1756</v>
      </c>
      <c r="D1046" s="2"/>
      <c r="E1046" s="2" t="s">
        <v>1692</v>
      </c>
      <c r="F1046" s="2"/>
      <c r="G1046" s="2"/>
      <c r="H1046" s="2"/>
      <c r="I1046" s="2"/>
      <c r="J1046" s="2"/>
      <c r="K1046" s="3"/>
      <c r="L1046" s="2"/>
      <c r="M1046" s="2" t="s">
        <v>802</v>
      </c>
      <c r="N1046" s="2" t="s">
        <v>1694</v>
      </c>
    </row>
    <row r="1047" spans="1:14" ht="15.75" customHeight="1" x14ac:dyDescent="0.35">
      <c r="A1047" s="2"/>
      <c r="B1047" s="2" cm="1">
        <f t="array" ref="B1047">_xlfn.IFS(AND(LEN('Special Help Table'!$A1047)-(LEN(SUBSTITUTE('Special Help Table'!$A1047,";","")))=0,LEN('Special Help Table'!$A1047)-LEN(SUBSTITUTE('Special Help Table'!$A1047,",",""))=1,LEN('Special Help Table'!$A1047)-LEN(SUBSTITUTE('Special Help Table'!$A1047,"and ",""))=0),MID('Special Help Table'!$A1047&amp;" "&amp;'Special Help Table'!$A1047,SEARCH(", ",'Special Help Table'!$A1047)+1,LEN('Special Help Table'!$A1047)),AND(LEN('Special Help Table'!$A1047)-(LEN(SUBSTITUTE('Special Help Table'!$A1047,";","")))=1,LEN('Special Help Table'!$A1047)-LEN(SUBSTITUTE('Special Help Table'!$A1047,"and ",""))=0),MID('Special Help Table'!$A1047,SEARCH(",",'Special Help Table'!$A1047)+1,(SEARCH(";",'Special Help Table'!$A1047)-1)-SEARCH(",",'Special Help Table'!$A1047))&amp;" "&amp;LEFT('Special Help Table'!$A1047,SEARCH(",",'Special Help Table'!$A1047)-1)&amp;";"&amp;RIGHT('Special Help Table'!$A1047,LEN('Special Help Table'!$A1047)-SEARCH(",",'Special Help Table'!$A1047,SEARCH(";",'Special Help Table'!$A1047)))&amp;" "&amp;MID('Special Help Table'!$A1047,SEARCH("; ",'Special Help Table'!$A1047)+2,SEARCH(",",'Special Help Table'!$A1047,SEARCH(";",'Special Help Table'!$A1047))-SEARCH(";",'Special Help Table'!$A1047)-2),AND(LEN('Special Help Table'!$A1047)-LEN(SUBSTITUTE('Special Help Table'!$A1047,"and ",""))=0,LEN('Special Help Table'!$A1047)-LEN(SUBSTITUTE('Special Help Table'!$A1047,";",""))=0),'Special Help Table'!$A1047,AND(LEN('Special Help Table'!$A1047)-LEN(SUBSTITUTE('Special Help Table'!$A1047,",","")=1),LEN('Special Help Table'!$A1047)-LEN(SUBSTITUTE('Special Help Table'!$A1047," ","")=20),LEN('Special Help Table'!$A1047)-LEN(SUBSTITUTE('Special Help Table'!$A1047," and",""))=0,LEN('Special Help Table'!$A1047)-LEN(SUBSTITUTE('Special Help Table'!$A1047,",","",FIND(" ",'Special Help Table'!$A1047)+1))=0),RIGHT('Special Help Table'!$A1047,LEN('Special Help Table'!$A1047)-FIND(", ",'Special Help Table'!$A1047))&amp;" "&amp;LEFT('Special Help Table'!$A1047,FIND(",",'Special Help Table'!$A1047)-1),AND(LEN('Special Help Table'!$A1047)-LEN(SUBSTITUTE('Special Help Table'!$A1047,"editor",""))=6,LEN('Special Help Table'!$A1047)-LEN(SUBSTITUTE('Special Help Table'!$A1047,"(",""))=0,LEN('Special Help Table'!$A1047)-LEN(SUBSTITUTE('Special Help Table'!$A1047,"and",""))=3,LEN('Special Help Table'!$A1047)-LEN(SUBSTITUTE('Special Help Table'!$A1047,",",""))=1,LEN('Special Help Table'!$A1047)-LEN(SUBSTITUTE('Special Help Table'!$A1047," ",""))=3),'Special Help Table'!$A1047)</f>
        <v>0</v>
      </c>
      <c r="C1047" s="4" t="s">
        <v>1757</v>
      </c>
      <c r="D1047" s="2"/>
      <c r="E1047" s="2" t="s">
        <v>1692</v>
      </c>
      <c r="F1047" s="2"/>
      <c r="G1047" s="2"/>
      <c r="H1047" s="2"/>
      <c r="I1047" s="2"/>
      <c r="J1047" s="2"/>
      <c r="K1047" s="3"/>
      <c r="L1047" s="2"/>
      <c r="M1047" s="2" t="s">
        <v>802</v>
      </c>
      <c r="N1047" s="2" t="s">
        <v>1694</v>
      </c>
    </row>
    <row r="1048" spans="1:14" ht="15.75" customHeight="1" x14ac:dyDescent="0.35">
      <c r="A1048" s="2"/>
      <c r="B1048" s="2" cm="1">
        <f t="array" ref="B1048">_xlfn.IFS(AND(LEN('Special Help Table'!$A1048)-(LEN(SUBSTITUTE('Special Help Table'!$A1048,";","")))=0,LEN('Special Help Table'!$A1048)-LEN(SUBSTITUTE('Special Help Table'!$A1048,",",""))=1,LEN('Special Help Table'!$A1048)-LEN(SUBSTITUTE('Special Help Table'!$A1048,"and ",""))=0),MID('Special Help Table'!$A1048&amp;" "&amp;'Special Help Table'!$A1048,SEARCH(", ",'Special Help Table'!$A1048)+1,LEN('Special Help Table'!$A1048)),AND(LEN('Special Help Table'!$A1048)-(LEN(SUBSTITUTE('Special Help Table'!$A1048,";","")))=1,LEN('Special Help Table'!$A1048)-LEN(SUBSTITUTE('Special Help Table'!$A1048,"and ",""))=0),MID('Special Help Table'!$A1048,SEARCH(",",'Special Help Table'!$A1048)+1,(SEARCH(";",'Special Help Table'!$A1048)-1)-SEARCH(",",'Special Help Table'!$A1048))&amp;" "&amp;LEFT('Special Help Table'!$A1048,SEARCH(",",'Special Help Table'!$A1048)-1)&amp;";"&amp;RIGHT('Special Help Table'!$A1048,LEN('Special Help Table'!$A1048)-SEARCH(",",'Special Help Table'!$A1048,SEARCH(";",'Special Help Table'!$A1048)))&amp;" "&amp;MID('Special Help Table'!$A1048,SEARCH("; ",'Special Help Table'!$A1048)+2,SEARCH(",",'Special Help Table'!$A1048,SEARCH(";",'Special Help Table'!$A1048))-SEARCH(";",'Special Help Table'!$A1048)-2),AND(LEN('Special Help Table'!$A1048)-LEN(SUBSTITUTE('Special Help Table'!$A1048,"and ",""))=0,LEN('Special Help Table'!$A1048)-LEN(SUBSTITUTE('Special Help Table'!$A1048,";",""))=0),'Special Help Table'!$A1048,AND(LEN('Special Help Table'!$A1048)-LEN(SUBSTITUTE('Special Help Table'!$A1048,",","")=1),LEN('Special Help Table'!$A1048)-LEN(SUBSTITUTE('Special Help Table'!$A1048," ","")=20),LEN('Special Help Table'!$A1048)-LEN(SUBSTITUTE('Special Help Table'!$A1048," and",""))=0,LEN('Special Help Table'!$A1048)-LEN(SUBSTITUTE('Special Help Table'!$A1048,",","",FIND(" ",'Special Help Table'!$A1048)+1))=0),RIGHT('Special Help Table'!$A1048,LEN('Special Help Table'!$A1048)-FIND(", ",'Special Help Table'!$A1048))&amp;" "&amp;LEFT('Special Help Table'!$A1048,FIND(",",'Special Help Table'!$A1048)-1),AND(LEN('Special Help Table'!$A1048)-LEN(SUBSTITUTE('Special Help Table'!$A1048,"editor",""))=6,LEN('Special Help Table'!$A1048)-LEN(SUBSTITUTE('Special Help Table'!$A1048,"(",""))=0,LEN('Special Help Table'!$A1048)-LEN(SUBSTITUTE('Special Help Table'!$A1048,"and",""))=3,LEN('Special Help Table'!$A1048)-LEN(SUBSTITUTE('Special Help Table'!$A1048,",",""))=1,LEN('Special Help Table'!$A1048)-LEN(SUBSTITUTE('Special Help Table'!$A1048," ",""))=3),'Special Help Table'!$A1048)</f>
        <v>0</v>
      </c>
      <c r="C1048" s="4" t="s">
        <v>1758</v>
      </c>
      <c r="D1048" s="2"/>
      <c r="E1048" s="2" t="s">
        <v>1692</v>
      </c>
      <c r="F1048" s="2"/>
      <c r="G1048" s="2"/>
      <c r="H1048" s="2"/>
      <c r="I1048" s="2"/>
      <c r="J1048" s="2"/>
      <c r="K1048" s="3"/>
      <c r="L1048" s="2"/>
      <c r="M1048" s="2" t="s">
        <v>802</v>
      </c>
      <c r="N1048" s="2" t="s">
        <v>1694</v>
      </c>
    </row>
    <row r="1049" spans="1:14" ht="15.75" customHeight="1" x14ac:dyDescent="0.35">
      <c r="A1049" s="2"/>
      <c r="B1049" s="2" cm="1">
        <f t="array" ref="B1049">_xlfn.IFS(AND(LEN('Special Help Table'!$A1049)-(LEN(SUBSTITUTE('Special Help Table'!$A1049,";","")))=0,LEN('Special Help Table'!$A1049)-LEN(SUBSTITUTE('Special Help Table'!$A1049,",",""))=1,LEN('Special Help Table'!$A1049)-LEN(SUBSTITUTE('Special Help Table'!$A1049,"and ",""))=0),MID('Special Help Table'!$A1049&amp;" "&amp;'Special Help Table'!$A1049,SEARCH(", ",'Special Help Table'!$A1049)+1,LEN('Special Help Table'!$A1049)),AND(LEN('Special Help Table'!$A1049)-(LEN(SUBSTITUTE('Special Help Table'!$A1049,";","")))=1,LEN('Special Help Table'!$A1049)-LEN(SUBSTITUTE('Special Help Table'!$A1049,"and ",""))=0),MID('Special Help Table'!$A1049,SEARCH(",",'Special Help Table'!$A1049)+1,(SEARCH(";",'Special Help Table'!$A1049)-1)-SEARCH(",",'Special Help Table'!$A1049))&amp;" "&amp;LEFT('Special Help Table'!$A1049,SEARCH(",",'Special Help Table'!$A1049)-1)&amp;";"&amp;RIGHT('Special Help Table'!$A1049,LEN('Special Help Table'!$A1049)-SEARCH(",",'Special Help Table'!$A1049,SEARCH(";",'Special Help Table'!$A1049)))&amp;" "&amp;MID('Special Help Table'!$A1049,SEARCH("; ",'Special Help Table'!$A1049)+2,SEARCH(",",'Special Help Table'!$A1049,SEARCH(";",'Special Help Table'!$A1049))-SEARCH(";",'Special Help Table'!$A1049)-2),AND(LEN('Special Help Table'!$A1049)-LEN(SUBSTITUTE('Special Help Table'!$A1049,"and ",""))=0,LEN('Special Help Table'!$A1049)-LEN(SUBSTITUTE('Special Help Table'!$A1049,";",""))=0),'Special Help Table'!$A1049,AND(LEN('Special Help Table'!$A1049)-LEN(SUBSTITUTE('Special Help Table'!$A1049,",","")=1),LEN('Special Help Table'!$A1049)-LEN(SUBSTITUTE('Special Help Table'!$A1049," ","")=20),LEN('Special Help Table'!$A1049)-LEN(SUBSTITUTE('Special Help Table'!$A1049," and",""))=0,LEN('Special Help Table'!$A1049)-LEN(SUBSTITUTE('Special Help Table'!$A1049,",","",FIND(" ",'Special Help Table'!$A1049)+1))=0),RIGHT('Special Help Table'!$A1049,LEN('Special Help Table'!$A1049)-FIND(", ",'Special Help Table'!$A1049))&amp;" "&amp;LEFT('Special Help Table'!$A1049,FIND(",",'Special Help Table'!$A1049)-1),AND(LEN('Special Help Table'!$A1049)-LEN(SUBSTITUTE('Special Help Table'!$A1049,"editor",""))=6,LEN('Special Help Table'!$A1049)-LEN(SUBSTITUTE('Special Help Table'!$A1049,"(",""))=0,LEN('Special Help Table'!$A1049)-LEN(SUBSTITUTE('Special Help Table'!$A1049,"and",""))=3,LEN('Special Help Table'!$A1049)-LEN(SUBSTITUTE('Special Help Table'!$A1049,",",""))=1,LEN('Special Help Table'!$A1049)-LEN(SUBSTITUTE('Special Help Table'!$A1049," ",""))=3),'Special Help Table'!$A1049)</f>
        <v>0</v>
      </c>
      <c r="C1049" s="4" t="s">
        <v>1759</v>
      </c>
      <c r="D1049" s="2"/>
      <c r="E1049" s="2" t="s">
        <v>1692</v>
      </c>
      <c r="F1049" s="2"/>
      <c r="G1049" s="2"/>
      <c r="H1049" s="2"/>
      <c r="I1049" s="2"/>
      <c r="J1049" s="2"/>
      <c r="K1049" s="3"/>
      <c r="L1049" s="2"/>
      <c r="M1049" s="2" t="s">
        <v>802</v>
      </c>
      <c r="N1049" s="2" t="s">
        <v>1694</v>
      </c>
    </row>
    <row r="1050" spans="1:14" ht="15.75" customHeight="1" x14ac:dyDescent="0.35">
      <c r="A1050" s="2"/>
      <c r="B1050" s="2" cm="1">
        <f t="array" ref="B1050">_xlfn.IFS(AND(LEN('Special Help Table'!$A1050)-(LEN(SUBSTITUTE('Special Help Table'!$A1050,";","")))=0,LEN('Special Help Table'!$A1050)-LEN(SUBSTITUTE('Special Help Table'!$A1050,",",""))=1,LEN('Special Help Table'!$A1050)-LEN(SUBSTITUTE('Special Help Table'!$A1050,"and ",""))=0),MID('Special Help Table'!$A1050&amp;" "&amp;'Special Help Table'!$A1050,SEARCH(", ",'Special Help Table'!$A1050)+1,LEN('Special Help Table'!$A1050)),AND(LEN('Special Help Table'!$A1050)-(LEN(SUBSTITUTE('Special Help Table'!$A1050,";","")))=1,LEN('Special Help Table'!$A1050)-LEN(SUBSTITUTE('Special Help Table'!$A1050,"and ",""))=0),MID('Special Help Table'!$A1050,SEARCH(",",'Special Help Table'!$A1050)+1,(SEARCH(";",'Special Help Table'!$A1050)-1)-SEARCH(",",'Special Help Table'!$A1050))&amp;" "&amp;LEFT('Special Help Table'!$A1050,SEARCH(",",'Special Help Table'!$A1050)-1)&amp;";"&amp;RIGHT('Special Help Table'!$A1050,LEN('Special Help Table'!$A1050)-SEARCH(",",'Special Help Table'!$A1050,SEARCH(";",'Special Help Table'!$A1050)))&amp;" "&amp;MID('Special Help Table'!$A1050,SEARCH("; ",'Special Help Table'!$A1050)+2,SEARCH(",",'Special Help Table'!$A1050,SEARCH(";",'Special Help Table'!$A1050))-SEARCH(";",'Special Help Table'!$A1050)-2),AND(LEN('Special Help Table'!$A1050)-LEN(SUBSTITUTE('Special Help Table'!$A1050,"and ",""))=0,LEN('Special Help Table'!$A1050)-LEN(SUBSTITUTE('Special Help Table'!$A1050,";",""))=0),'Special Help Table'!$A1050,AND(LEN('Special Help Table'!$A1050)-LEN(SUBSTITUTE('Special Help Table'!$A1050,",","")=1),LEN('Special Help Table'!$A1050)-LEN(SUBSTITUTE('Special Help Table'!$A1050," ","")=20),LEN('Special Help Table'!$A1050)-LEN(SUBSTITUTE('Special Help Table'!$A1050," and",""))=0,LEN('Special Help Table'!$A1050)-LEN(SUBSTITUTE('Special Help Table'!$A1050,",","",FIND(" ",'Special Help Table'!$A1050)+1))=0),RIGHT('Special Help Table'!$A1050,LEN('Special Help Table'!$A1050)-FIND(", ",'Special Help Table'!$A1050))&amp;" "&amp;LEFT('Special Help Table'!$A1050,FIND(",",'Special Help Table'!$A1050)-1),AND(LEN('Special Help Table'!$A1050)-LEN(SUBSTITUTE('Special Help Table'!$A1050,"editor",""))=6,LEN('Special Help Table'!$A1050)-LEN(SUBSTITUTE('Special Help Table'!$A1050,"(",""))=0,LEN('Special Help Table'!$A1050)-LEN(SUBSTITUTE('Special Help Table'!$A1050,"and",""))=3,LEN('Special Help Table'!$A1050)-LEN(SUBSTITUTE('Special Help Table'!$A1050,",",""))=1,LEN('Special Help Table'!$A1050)-LEN(SUBSTITUTE('Special Help Table'!$A1050," ",""))=3),'Special Help Table'!$A1050)</f>
        <v>0</v>
      </c>
      <c r="C1050" s="4" t="s">
        <v>1760</v>
      </c>
      <c r="D1050" s="2"/>
      <c r="E1050" s="2" t="s">
        <v>1692</v>
      </c>
      <c r="F1050" s="2"/>
      <c r="G1050" s="2"/>
      <c r="H1050" s="2"/>
      <c r="I1050" s="2"/>
      <c r="J1050" s="2"/>
      <c r="K1050" s="3"/>
      <c r="L1050" s="2"/>
      <c r="M1050" s="2" t="s">
        <v>802</v>
      </c>
      <c r="N1050" s="2" t="s">
        <v>1694</v>
      </c>
    </row>
    <row r="1051" spans="1:14" ht="15.75" customHeight="1" x14ac:dyDescent="0.35">
      <c r="A1051" s="2"/>
      <c r="B1051" s="2" cm="1">
        <f t="array" ref="B1051">_xlfn.IFS(AND(LEN('Special Help Table'!$A1051)-(LEN(SUBSTITUTE('Special Help Table'!$A1051,";","")))=0,LEN('Special Help Table'!$A1051)-LEN(SUBSTITUTE('Special Help Table'!$A1051,",",""))=1,LEN('Special Help Table'!$A1051)-LEN(SUBSTITUTE('Special Help Table'!$A1051,"and ",""))=0),MID('Special Help Table'!$A1051&amp;" "&amp;'Special Help Table'!$A1051,SEARCH(", ",'Special Help Table'!$A1051)+1,LEN('Special Help Table'!$A1051)),AND(LEN('Special Help Table'!$A1051)-(LEN(SUBSTITUTE('Special Help Table'!$A1051,";","")))=1,LEN('Special Help Table'!$A1051)-LEN(SUBSTITUTE('Special Help Table'!$A1051,"and ",""))=0),MID('Special Help Table'!$A1051,SEARCH(",",'Special Help Table'!$A1051)+1,(SEARCH(";",'Special Help Table'!$A1051)-1)-SEARCH(",",'Special Help Table'!$A1051))&amp;" "&amp;LEFT('Special Help Table'!$A1051,SEARCH(",",'Special Help Table'!$A1051)-1)&amp;";"&amp;RIGHT('Special Help Table'!$A1051,LEN('Special Help Table'!$A1051)-SEARCH(",",'Special Help Table'!$A1051,SEARCH(";",'Special Help Table'!$A1051)))&amp;" "&amp;MID('Special Help Table'!$A1051,SEARCH("; ",'Special Help Table'!$A1051)+2,SEARCH(",",'Special Help Table'!$A1051,SEARCH(";",'Special Help Table'!$A1051))-SEARCH(";",'Special Help Table'!$A1051)-2),AND(LEN('Special Help Table'!$A1051)-LEN(SUBSTITUTE('Special Help Table'!$A1051,"and ",""))=0,LEN('Special Help Table'!$A1051)-LEN(SUBSTITUTE('Special Help Table'!$A1051,";",""))=0),'Special Help Table'!$A1051,AND(LEN('Special Help Table'!$A1051)-LEN(SUBSTITUTE('Special Help Table'!$A1051,",","")=1),LEN('Special Help Table'!$A1051)-LEN(SUBSTITUTE('Special Help Table'!$A1051," ","")=20),LEN('Special Help Table'!$A1051)-LEN(SUBSTITUTE('Special Help Table'!$A1051," and",""))=0,LEN('Special Help Table'!$A1051)-LEN(SUBSTITUTE('Special Help Table'!$A1051,",","",FIND(" ",'Special Help Table'!$A1051)+1))=0),RIGHT('Special Help Table'!$A1051,LEN('Special Help Table'!$A1051)-FIND(", ",'Special Help Table'!$A1051))&amp;" "&amp;LEFT('Special Help Table'!$A1051,FIND(",",'Special Help Table'!$A1051)-1),AND(LEN('Special Help Table'!$A1051)-LEN(SUBSTITUTE('Special Help Table'!$A1051,"editor",""))=6,LEN('Special Help Table'!$A1051)-LEN(SUBSTITUTE('Special Help Table'!$A1051,"(",""))=0,LEN('Special Help Table'!$A1051)-LEN(SUBSTITUTE('Special Help Table'!$A1051,"and",""))=3,LEN('Special Help Table'!$A1051)-LEN(SUBSTITUTE('Special Help Table'!$A1051,",",""))=1,LEN('Special Help Table'!$A1051)-LEN(SUBSTITUTE('Special Help Table'!$A1051," ",""))=3),'Special Help Table'!$A1051)</f>
        <v>0</v>
      </c>
      <c r="C1051" s="4" t="s">
        <v>1761</v>
      </c>
      <c r="D1051" s="2"/>
      <c r="E1051" s="2" t="s">
        <v>1692</v>
      </c>
      <c r="F1051" s="2"/>
      <c r="G1051" s="2"/>
      <c r="H1051" s="2"/>
      <c r="I1051" s="2"/>
      <c r="J1051" s="2"/>
      <c r="K1051" s="3"/>
      <c r="L1051" s="2"/>
      <c r="M1051" s="2" t="s">
        <v>802</v>
      </c>
      <c r="N1051" s="2" t="s">
        <v>1694</v>
      </c>
    </row>
    <row r="1052" spans="1:14" ht="15.75" customHeight="1" x14ac:dyDescent="0.35">
      <c r="A1052" s="2"/>
      <c r="B1052" s="2" cm="1">
        <f t="array" ref="B1052">_xlfn.IFS(AND(LEN('Special Help Table'!$A1052)-(LEN(SUBSTITUTE('Special Help Table'!$A1052,";","")))=0,LEN('Special Help Table'!$A1052)-LEN(SUBSTITUTE('Special Help Table'!$A1052,",",""))=1,LEN('Special Help Table'!$A1052)-LEN(SUBSTITUTE('Special Help Table'!$A1052,"and ",""))=0),MID('Special Help Table'!$A1052&amp;" "&amp;'Special Help Table'!$A1052,SEARCH(", ",'Special Help Table'!$A1052)+1,LEN('Special Help Table'!$A1052)),AND(LEN('Special Help Table'!$A1052)-(LEN(SUBSTITUTE('Special Help Table'!$A1052,";","")))=1,LEN('Special Help Table'!$A1052)-LEN(SUBSTITUTE('Special Help Table'!$A1052,"and ",""))=0),MID('Special Help Table'!$A1052,SEARCH(",",'Special Help Table'!$A1052)+1,(SEARCH(";",'Special Help Table'!$A1052)-1)-SEARCH(",",'Special Help Table'!$A1052))&amp;" "&amp;LEFT('Special Help Table'!$A1052,SEARCH(",",'Special Help Table'!$A1052)-1)&amp;";"&amp;RIGHT('Special Help Table'!$A1052,LEN('Special Help Table'!$A1052)-SEARCH(",",'Special Help Table'!$A1052,SEARCH(";",'Special Help Table'!$A1052)))&amp;" "&amp;MID('Special Help Table'!$A1052,SEARCH("; ",'Special Help Table'!$A1052)+2,SEARCH(",",'Special Help Table'!$A1052,SEARCH(";",'Special Help Table'!$A1052))-SEARCH(";",'Special Help Table'!$A1052)-2),AND(LEN('Special Help Table'!$A1052)-LEN(SUBSTITUTE('Special Help Table'!$A1052,"and ",""))=0,LEN('Special Help Table'!$A1052)-LEN(SUBSTITUTE('Special Help Table'!$A1052,";",""))=0),'Special Help Table'!$A1052,AND(LEN('Special Help Table'!$A1052)-LEN(SUBSTITUTE('Special Help Table'!$A1052,",","")=1),LEN('Special Help Table'!$A1052)-LEN(SUBSTITUTE('Special Help Table'!$A1052," ","")=20),LEN('Special Help Table'!$A1052)-LEN(SUBSTITUTE('Special Help Table'!$A1052," and",""))=0,LEN('Special Help Table'!$A1052)-LEN(SUBSTITUTE('Special Help Table'!$A1052,",","",FIND(" ",'Special Help Table'!$A1052)+1))=0),RIGHT('Special Help Table'!$A1052,LEN('Special Help Table'!$A1052)-FIND(", ",'Special Help Table'!$A1052))&amp;" "&amp;LEFT('Special Help Table'!$A1052,FIND(",",'Special Help Table'!$A1052)-1),AND(LEN('Special Help Table'!$A1052)-LEN(SUBSTITUTE('Special Help Table'!$A1052,"editor",""))=6,LEN('Special Help Table'!$A1052)-LEN(SUBSTITUTE('Special Help Table'!$A1052,"(",""))=0,LEN('Special Help Table'!$A1052)-LEN(SUBSTITUTE('Special Help Table'!$A1052,"and",""))=3,LEN('Special Help Table'!$A1052)-LEN(SUBSTITUTE('Special Help Table'!$A1052,",",""))=1,LEN('Special Help Table'!$A1052)-LEN(SUBSTITUTE('Special Help Table'!$A1052," ",""))=3),'Special Help Table'!$A1052)</f>
        <v>0</v>
      </c>
      <c r="C1052" s="4" t="s">
        <v>1762</v>
      </c>
      <c r="D1052" s="2"/>
      <c r="E1052" s="2" t="s">
        <v>1763</v>
      </c>
      <c r="F1052" s="2"/>
      <c r="G1052" s="2"/>
      <c r="H1052" s="2"/>
      <c r="I1052" s="2"/>
      <c r="J1052" s="2"/>
      <c r="K1052" s="3">
        <v>40980</v>
      </c>
      <c r="L1052" s="2"/>
      <c r="M1052" s="2" t="s">
        <v>1088</v>
      </c>
      <c r="N1052" s="2" t="s">
        <v>1694</v>
      </c>
    </row>
    <row r="1053" spans="1:14" ht="15.75" customHeight="1" x14ac:dyDescent="0.35">
      <c r="A1053" s="2"/>
      <c r="B1053" s="2" cm="1">
        <f t="array" ref="B1053">_xlfn.IFS(AND(LEN('Special Help Table'!$A1053)-(LEN(SUBSTITUTE('Special Help Table'!$A1053,";","")))=0,LEN('Special Help Table'!$A1053)-LEN(SUBSTITUTE('Special Help Table'!$A1053,",",""))=1,LEN('Special Help Table'!$A1053)-LEN(SUBSTITUTE('Special Help Table'!$A1053,"and ",""))=0),MID('Special Help Table'!$A1053&amp;" "&amp;'Special Help Table'!$A1053,SEARCH(", ",'Special Help Table'!$A1053)+1,LEN('Special Help Table'!$A1053)),AND(LEN('Special Help Table'!$A1053)-(LEN(SUBSTITUTE('Special Help Table'!$A1053,";","")))=1,LEN('Special Help Table'!$A1053)-LEN(SUBSTITUTE('Special Help Table'!$A1053,"and ",""))=0),MID('Special Help Table'!$A1053,SEARCH(",",'Special Help Table'!$A1053)+1,(SEARCH(";",'Special Help Table'!$A1053)-1)-SEARCH(",",'Special Help Table'!$A1053))&amp;" "&amp;LEFT('Special Help Table'!$A1053,SEARCH(",",'Special Help Table'!$A1053)-1)&amp;";"&amp;RIGHT('Special Help Table'!$A1053,LEN('Special Help Table'!$A1053)-SEARCH(",",'Special Help Table'!$A1053,SEARCH(";",'Special Help Table'!$A1053)))&amp;" "&amp;MID('Special Help Table'!$A1053,SEARCH("; ",'Special Help Table'!$A1053)+2,SEARCH(",",'Special Help Table'!$A1053,SEARCH(";",'Special Help Table'!$A1053))-SEARCH(";",'Special Help Table'!$A1053)-2),AND(LEN('Special Help Table'!$A1053)-LEN(SUBSTITUTE('Special Help Table'!$A1053,"and ",""))=0,LEN('Special Help Table'!$A1053)-LEN(SUBSTITUTE('Special Help Table'!$A1053,";",""))=0),'Special Help Table'!$A1053,AND(LEN('Special Help Table'!$A1053)-LEN(SUBSTITUTE('Special Help Table'!$A1053,",","")=1),LEN('Special Help Table'!$A1053)-LEN(SUBSTITUTE('Special Help Table'!$A1053," ","")=20),LEN('Special Help Table'!$A1053)-LEN(SUBSTITUTE('Special Help Table'!$A1053," and",""))=0,LEN('Special Help Table'!$A1053)-LEN(SUBSTITUTE('Special Help Table'!$A1053,",","",FIND(" ",'Special Help Table'!$A1053)+1))=0),RIGHT('Special Help Table'!$A1053,LEN('Special Help Table'!$A1053)-FIND(", ",'Special Help Table'!$A1053))&amp;" "&amp;LEFT('Special Help Table'!$A1053,FIND(",",'Special Help Table'!$A1053)-1),AND(LEN('Special Help Table'!$A1053)-LEN(SUBSTITUTE('Special Help Table'!$A1053,"editor",""))=6,LEN('Special Help Table'!$A1053)-LEN(SUBSTITUTE('Special Help Table'!$A1053,"(",""))=0,LEN('Special Help Table'!$A1053)-LEN(SUBSTITUTE('Special Help Table'!$A1053,"and",""))=3,LEN('Special Help Table'!$A1053)-LEN(SUBSTITUTE('Special Help Table'!$A1053,",",""))=1,LEN('Special Help Table'!$A1053)-LEN(SUBSTITUTE('Special Help Table'!$A1053," ",""))=3),'Special Help Table'!$A1053)</f>
        <v>0</v>
      </c>
      <c r="C1053" s="4" t="s">
        <v>1764</v>
      </c>
      <c r="D1053" s="2"/>
      <c r="E1053" s="2" t="s">
        <v>1692</v>
      </c>
      <c r="F1053" s="2"/>
      <c r="G1053" s="2"/>
      <c r="H1053" s="2"/>
      <c r="I1053" s="2"/>
      <c r="J1053" s="2"/>
      <c r="K1053" s="3"/>
      <c r="L1053" s="2"/>
      <c r="M1053" s="2" t="s">
        <v>1765</v>
      </c>
      <c r="N1053" s="2" t="s">
        <v>1694</v>
      </c>
    </row>
    <row r="1054" spans="1:14" ht="15.75" customHeight="1" x14ac:dyDescent="0.35">
      <c r="A1054" s="2"/>
      <c r="B1054" s="2" cm="1">
        <f t="array" ref="B1054">_xlfn.IFS(AND(LEN('Special Help Table'!$A1054)-(LEN(SUBSTITUTE('Special Help Table'!$A1054,";","")))=0,LEN('Special Help Table'!$A1054)-LEN(SUBSTITUTE('Special Help Table'!$A1054,",",""))=1,LEN('Special Help Table'!$A1054)-LEN(SUBSTITUTE('Special Help Table'!$A1054,"and ",""))=0),MID('Special Help Table'!$A1054&amp;" "&amp;'Special Help Table'!$A1054,SEARCH(", ",'Special Help Table'!$A1054)+1,LEN('Special Help Table'!$A1054)),AND(LEN('Special Help Table'!$A1054)-(LEN(SUBSTITUTE('Special Help Table'!$A1054,";","")))=1,LEN('Special Help Table'!$A1054)-LEN(SUBSTITUTE('Special Help Table'!$A1054,"and ",""))=0),MID('Special Help Table'!$A1054,SEARCH(",",'Special Help Table'!$A1054)+1,(SEARCH(";",'Special Help Table'!$A1054)-1)-SEARCH(",",'Special Help Table'!$A1054))&amp;" "&amp;LEFT('Special Help Table'!$A1054,SEARCH(",",'Special Help Table'!$A1054)-1)&amp;";"&amp;RIGHT('Special Help Table'!$A1054,LEN('Special Help Table'!$A1054)-SEARCH(",",'Special Help Table'!$A1054,SEARCH(";",'Special Help Table'!$A1054)))&amp;" "&amp;MID('Special Help Table'!$A1054,SEARCH("; ",'Special Help Table'!$A1054)+2,SEARCH(",",'Special Help Table'!$A1054,SEARCH(";",'Special Help Table'!$A1054))-SEARCH(";",'Special Help Table'!$A1054)-2),AND(LEN('Special Help Table'!$A1054)-LEN(SUBSTITUTE('Special Help Table'!$A1054,"and ",""))=0,LEN('Special Help Table'!$A1054)-LEN(SUBSTITUTE('Special Help Table'!$A1054,";",""))=0),'Special Help Table'!$A1054,AND(LEN('Special Help Table'!$A1054)-LEN(SUBSTITUTE('Special Help Table'!$A1054,",","")=1),LEN('Special Help Table'!$A1054)-LEN(SUBSTITUTE('Special Help Table'!$A1054," ","")=20),LEN('Special Help Table'!$A1054)-LEN(SUBSTITUTE('Special Help Table'!$A1054," and",""))=0,LEN('Special Help Table'!$A1054)-LEN(SUBSTITUTE('Special Help Table'!$A1054,",","",FIND(" ",'Special Help Table'!$A1054)+1))=0),RIGHT('Special Help Table'!$A1054,LEN('Special Help Table'!$A1054)-FIND(", ",'Special Help Table'!$A1054))&amp;" "&amp;LEFT('Special Help Table'!$A1054,FIND(",",'Special Help Table'!$A1054)-1),AND(LEN('Special Help Table'!$A1054)-LEN(SUBSTITUTE('Special Help Table'!$A1054,"editor",""))=6,LEN('Special Help Table'!$A1054)-LEN(SUBSTITUTE('Special Help Table'!$A1054,"(",""))=0,LEN('Special Help Table'!$A1054)-LEN(SUBSTITUTE('Special Help Table'!$A1054,"and",""))=3,LEN('Special Help Table'!$A1054)-LEN(SUBSTITUTE('Special Help Table'!$A1054,",",""))=1,LEN('Special Help Table'!$A1054)-LEN(SUBSTITUTE('Special Help Table'!$A1054," ",""))=3),'Special Help Table'!$A1054)</f>
        <v>0</v>
      </c>
      <c r="C1054" s="4" t="s">
        <v>1766</v>
      </c>
      <c r="D1054" s="2"/>
      <c r="E1054" s="2" t="s">
        <v>1725</v>
      </c>
      <c r="F1054" s="2"/>
      <c r="G1054" s="2"/>
      <c r="H1054" s="2"/>
      <c r="I1054" s="2"/>
      <c r="J1054" s="2"/>
      <c r="K1054" s="3">
        <v>40369</v>
      </c>
      <c r="L1054" s="2"/>
      <c r="M1054" s="2"/>
      <c r="N1054" s="2" t="s">
        <v>1694</v>
      </c>
    </row>
    <row r="1055" spans="1:14" ht="15.75" customHeight="1" x14ac:dyDescent="0.35">
      <c r="A1055" s="2"/>
      <c r="B1055" s="2" cm="1">
        <f t="array" ref="B1055">_xlfn.IFS(AND(LEN('Special Help Table'!$A1055)-(LEN(SUBSTITUTE('Special Help Table'!$A1055,";","")))=0,LEN('Special Help Table'!$A1055)-LEN(SUBSTITUTE('Special Help Table'!$A1055,",",""))=1,LEN('Special Help Table'!$A1055)-LEN(SUBSTITUTE('Special Help Table'!$A1055,"and ",""))=0),MID('Special Help Table'!$A1055&amp;" "&amp;'Special Help Table'!$A1055,SEARCH(", ",'Special Help Table'!$A1055)+1,LEN('Special Help Table'!$A1055)),AND(LEN('Special Help Table'!$A1055)-(LEN(SUBSTITUTE('Special Help Table'!$A1055,";","")))=1,LEN('Special Help Table'!$A1055)-LEN(SUBSTITUTE('Special Help Table'!$A1055,"and ",""))=0),MID('Special Help Table'!$A1055,SEARCH(",",'Special Help Table'!$A1055)+1,(SEARCH(";",'Special Help Table'!$A1055)-1)-SEARCH(",",'Special Help Table'!$A1055))&amp;" "&amp;LEFT('Special Help Table'!$A1055,SEARCH(",",'Special Help Table'!$A1055)-1)&amp;";"&amp;RIGHT('Special Help Table'!$A1055,LEN('Special Help Table'!$A1055)-SEARCH(",",'Special Help Table'!$A1055,SEARCH(";",'Special Help Table'!$A1055)))&amp;" "&amp;MID('Special Help Table'!$A1055,SEARCH("; ",'Special Help Table'!$A1055)+2,SEARCH(",",'Special Help Table'!$A1055,SEARCH(";",'Special Help Table'!$A1055))-SEARCH(";",'Special Help Table'!$A1055)-2),AND(LEN('Special Help Table'!$A1055)-LEN(SUBSTITUTE('Special Help Table'!$A1055,"and ",""))=0,LEN('Special Help Table'!$A1055)-LEN(SUBSTITUTE('Special Help Table'!$A1055,";",""))=0),'Special Help Table'!$A1055,AND(LEN('Special Help Table'!$A1055)-LEN(SUBSTITUTE('Special Help Table'!$A1055,",","")=1),LEN('Special Help Table'!$A1055)-LEN(SUBSTITUTE('Special Help Table'!$A1055," ","")=20),LEN('Special Help Table'!$A1055)-LEN(SUBSTITUTE('Special Help Table'!$A1055," and",""))=0,LEN('Special Help Table'!$A1055)-LEN(SUBSTITUTE('Special Help Table'!$A1055,",","",FIND(" ",'Special Help Table'!$A1055)+1))=0),RIGHT('Special Help Table'!$A1055,LEN('Special Help Table'!$A1055)-FIND(", ",'Special Help Table'!$A1055))&amp;" "&amp;LEFT('Special Help Table'!$A1055,FIND(",",'Special Help Table'!$A1055)-1),AND(LEN('Special Help Table'!$A1055)-LEN(SUBSTITUTE('Special Help Table'!$A1055,"editor",""))=6,LEN('Special Help Table'!$A1055)-LEN(SUBSTITUTE('Special Help Table'!$A1055,"(",""))=0,LEN('Special Help Table'!$A1055)-LEN(SUBSTITUTE('Special Help Table'!$A1055,"and",""))=3,LEN('Special Help Table'!$A1055)-LEN(SUBSTITUTE('Special Help Table'!$A1055,",",""))=1,LEN('Special Help Table'!$A1055)-LEN(SUBSTITUTE('Special Help Table'!$A1055," ",""))=3),'Special Help Table'!$A1055)</f>
        <v>0</v>
      </c>
      <c r="C1055" s="2"/>
      <c r="D1055" s="2"/>
      <c r="E1055" s="2"/>
      <c r="F1055" s="2"/>
      <c r="G1055" s="2"/>
      <c r="H1055" s="2"/>
      <c r="I1055" s="2"/>
      <c r="J1055" s="2"/>
      <c r="K1055" s="3"/>
      <c r="L1055" s="2"/>
      <c r="M1055" s="2"/>
      <c r="N1055" s="2" t="s">
        <v>1767</v>
      </c>
    </row>
    <row r="1056" spans="1:14" ht="15.75" customHeight="1" x14ac:dyDescent="0.35">
      <c r="A1056" s="2"/>
      <c r="B1056" s="2" cm="1">
        <f t="array" ref="B1056">_xlfn.IFS(AND(LEN('Special Help Table'!$A1056)-(LEN(SUBSTITUTE('Special Help Table'!$A1056,";","")))=0,LEN('Special Help Table'!$A1056)-LEN(SUBSTITUTE('Special Help Table'!$A1056,",",""))=1,LEN('Special Help Table'!$A1056)-LEN(SUBSTITUTE('Special Help Table'!$A1056,"and ",""))=0),MID('Special Help Table'!$A1056&amp;" "&amp;'Special Help Table'!$A1056,SEARCH(", ",'Special Help Table'!$A1056)+1,LEN('Special Help Table'!$A1056)),AND(LEN('Special Help Table'!$A1056)-(LEN(SUBSTITUTE('Special Help Table'!$A1056,";","")))=1,LEN('Special Help Table'!$A1056)-LEN(SUBSTITUTE('Special Help Table'!$A1056,"and ",""))=0),MID('Special Help Table'!$A1056,SEARCH(",",'Special Help Table'!$A1056)+1,(SEARCH(";",'Special Help Table'!$A1056)-1)-SEARCH(",",'Special Help Table'!$A1056))&amp;" "&amp;LEFT('Special Help Table'!$A1056,SEARCH(",",'Special Help Table'!$A1056)-1)&amp;";"&amp;RIGHT('Special Help Table'!$A1056,LEN('Special Help Table'!$A1056)-SEARCH(",",'Special Help Table'!$A1056,SEARCH(";",'Special Help Table'!$A1056)))&amp;" "&amp;MID('Special Help Table'!$A1056,SEARCH("; ",'Special Help Table'!$A1056)+2,SEARCH(",",'Special Help Table'!$A1056,SEARCH(";",'Special Help Table'!$A1056))-SEARCH(";",'Special Help Table'!$A1056)-2),AND(LEN('Special Help Table'!$A1056)-LEN(SUBSTITUTE('Special Help Table'!$A1056,"and ",""))=0,LEN('Special Help Table'!$A1056)-LEN(SUBSTITUTE('Special Help Table'!$A1056,";",""))=0),'Special Help Table'!$A1056,AND(LEN('Special Help Table'!$A1056)-LEN(SUBSTITUTE('Special Help Table'!$A1056,",","")=1),LEN('Special Help Table'!$A1056)-LEN(SUBSTITUTE('Special Help Table'!$A1056," ","")=20),LEN('Special Help Table'!$A1056)-LEN(SUBSTITUTE('Special Help Table'!$A1056," and",""))=0,LEN('Special Help Table'!$A1056)-LEN(SUBSTITUTE('Special Help Table'!$A1056,",","",FIND(" ",'Special Help Table'!$A1056)+1))=0),RIGHT('Special Help Table'!$A1056,LEN('Special Help Table'!$A1056)-FIND(", ",'Special Help Table'!$A1056))&amp;" "&amp;LEFT('Special Help Table'!$A1056,FIND(",",'Special Help Table'!$A1056)-1),AND(LEN('Special Help Table'!$A1056)-LEN(SUBSTITUTE('Special Help Table'!$A1056,"editor",""))=6,LEN('Special Help Table'!$A1056)-LEN(SUBSTITUTE('Special Help Table'!$A1056,"(",""))=0,LEN('Special Help Table'!$A1056)-LEN(SUBSTITUTE('Special Help Table'!$A1056,"and",""))=3,LEN('Special Help Table'!$A1056)-LEN(SUBSTITUTE('Special Help Table'!$A1056,",",""))=1,LEN('Special Help Table'!$A1056)-LEN(SUBSTITUTE('Special Help Table'!$A1056," ",""))=3),'Special Help Table'!$A1056)</f>
        <v>0</v>
      </c>
      <c r="C1056" s="2"/>
      <c r="D1056" s="2"/>
      <c r="E1056" s="2"/>
      <c r="F1056" s="2"/>
      <c r="G1056" s="2"/>
      <c r="H1056" s="2"/>
      <c r="I1056" s="2"/>
      <c r="J1056" s="2"/>
      <c r="K1056" s="3"/>
      <c r="L1056" s="2"/>
      <c r="M1056" s="2"/>
      <c r="N1056" s="2" t="s">
        <v>1767</v>
      </c>
    </row>
    <row r="1057" spans="1:14" ht="15.75" customHeight="1" x14ac:dyDescent="0.35">
      <c r="A1057" s="2"/>
      <c r="B1057" s="2" cm="1">
        <f t="array" ref="B1057">_xlfn.IFS(AND(LEN('Special Help Table'!$A1057)-(LEN(SUBSTITUTE('Special Help Table'!$A1057,";","")))=0,LEN('Special Help Table'!$A1057)-LEN(SUBSTITUTE('Special Help Table'!$A1057,",",""))=1,LEN('Special Help Table'!$A1057)-LEN(SUBSTITUTE('Special Help Table'!$A1057,"and ",""))=0),MID('Special Help Table'!$A1057&amp;" "&amp;'Special Help Table'!$A1057,SEARCH(", ",'Special Help Table'!$A1057)+1,LEN('Special Help Table'!$A1057)),AND(LEN('Special Help Table'!$A1057)-(LEN(SUBSTITUTE('Special Help Table'!$A1057,";","")))=1,LEN('Special Help Table'!$A1057)-LEN(SUBSTITUTE('Special Help Table'!$A1057,"and ",""))=0),MID('Special Help Table'!$A1057,SEARCH(",",'Special Help Table'!$A1057)+1,(SEARCH(";",'Special Help Table'!$A1057)-1)-SEARCH(",",'Special Help Table'!$A1057))&amp;" "&amp;LEFT('Special Help Table'!$A1057,SEARCH(",",'Special Help Table'!$A1057)-1)&amp;";"&amp;RIGHT('Special Help Table'!$A1057,LEN('Special Help Table'!$A1057)-SEARCH(",",'Special Help Table'!$A1057,SEARCH(";",'Special Help Table'!$A1057)))&amp;" "&amp;MID('Special Help Table'!$A1057,SEARCH("; ",'Special Help Table'!$A1057)+2,SEARCH(",",'Special Help Table'!$A1057,SEARCH(";",'Special Help Table'!$A1057))-SEARCH(";",'Special Help Table'!$A1057)-2),AND(LEN('Special Help Table'!$A1057)-LEN(SUBSTITUTE('Special Help Table'!$A1057,"and ",""))=0,LEN('Special Help Table'!$A1057)-LEN(SUBSTITUTE('Special Help Table'!$A1057,";",""))=0),'Special Help Table'!$A1057,AND(LEN('Special Help Table'!$A1057)-LEN(SUBSTITUTE('Special Help Table'!$A1057,",","")=1),LEN('Special Help Table'!$A1057)-LEN(SUBSTITUTE('Special Help Table'!$A1057," ","")=20),LEN('Special Help Table'!$A1057)-LEN(SUBSTITUTE('Special Help Table'!$A1057," and",""))=0,LEN('Special Help Table'!$A1057)-LEN(SUBSTITUTE('Special Help Table'!$A1057,",","",FIND(" ",'Special Help Table'!$A1057)+1))=0),RIGHT('Special Help Table'!$A1057,LEN('Special Help Table'!$A1057)-FIND(", ",'Special Help Table'!$A1057))&amp;" "&amp;LEFT('Special Help Table'!$A1057,FIND(",",'Special Help Table'!$A1057)-1),AND(LEN('Special Help Table'!$A1057)-LEN(SUBSTITUTE('Special Help Table'!$A1057,"editor",""))=6,LEN('Special Help Table'!$A1057)-LEN(SUBSTITUTE('Special Help Table'!$A1057,"(",""))=0,LEN('Special Help Table'!$A1057)-LEN(SUBSTITUTE('Special Help Table'!$A1057,"and",""))=3,LEN('Special Help Table'!$A1057)-LEN(SUBSTITUTE('Special Help Table'!$A1057,",",""))=1,LEN('Special Help Table'!$A1057)-LEN(SUBSTITUTE('Special Help Table'!$A1057," ",""))=3),'Special Help Table'!$A1057)</f>
        <v>0</v>
      </c>
      <c r="C1057" s="2"/>
      <c r="D1057" s="2"/>
      <c r="E1057" s="2"/>
      <c r="F1057" s="2"/>
      <c r="G1057" s="2"/>
      <c r="H1057" s="2"/>
      <c r="I1057" s="2"/>
      <c r="J1057" s="2"/>
      <c r="K1057" s="3"/>
      <c r="L1057" s="2"/>
      <c r="M1057" s="2"/>
      <c r="N1057" s="2" t="s">
        <v>1767</v>
      </c>
    </row>
    <row r="1058" spans="1:14" ht="15.75" customHeight="1" x14ac:dyDescent="0.35">
      <c r="A1058" s="2"/>
      <c r="B1058" s="2" cm="1">
        <f t="array" ref="B1058">_xlfn.IFS(AND(LEN('Special Help Table'!$A1058)-(LEN(SUBSTITUTE('Special Help Table'!$A1058,";","")))=0,LEN('Special Help Table'!$A1058)-LEN(SUBSTITUTE('Special Help Table'!$A1058,",",""))=1,LEN('Special Help Table'!$A1058)-LEN(SUBSTITUTE('Special Help Table'!$A1058,"and ",""))=0),MID('Special Help Table'!$A1058&amp;" "&amp;'Special Help Table'!$A1058,SEARCH(", ",'Special Help Table'!$A1058)+1,LEN('Special Help Table'!$A1058)),AND(LEN('Special Help Table'!$A1058)-(LEN(SUBSTITUTE('Special Help Table'!$A1058,";","")))=1,LEN('Special Help Table'!$A1058)-LEN(SUBSTITUTE('Special Help Table'!$A1058,"and ",""))=0),MID('Special Help Table'!$A1058,SEARCH(",",'Special Help Table'!$A1058)+1,(SEARCH(";",'Special Help Table'!$A1058)-1)-SEARCH(",",'Special Help Table'!$A1058))&amp;" "&amp;LEFT('Special Help Table'!$A1058,SEARCH(",",'Special Help Table'!$A1058)-1)&amp;";"&amp;RIGHT('Special Help Table'!$A1058,LEN('Special Help Table'!$A1058)-SEARCH(",",'Special Help Table'!$A1058,SEARCH(";",'Special Help Table'!$A1058)))&amp;" "&amp;MID('Special Help Table'!$A1058,SEARCH("; ",'Special Help Table'!$A1058)+2,SEARCH(",",'Special Help Table'!$A1058,SEARCH(";",'Special Help Table'!$A1058))-SEARCH(";",'Special Help Table'!$A1058)-2),AND(LEN('Special Help Table'!$A1058)-LEN(SUBSTITUTE('Special Help Table'!$A1058,"and ",""))=0,LEN('Special Help Table'!$A1058)-LEN(SUBSTITUTE('Special Help Table'!$A1058,";",""))=0),'Special Help Table'!$A1058,AND(LEN('Special Help Table'!$A1058)-LEN(SUBSTITUTE('Special Help Table'!$A1058,",","")=1),LEN('Special Help Table'!$A1058)-LEN(SUBSTITUTE('Special Help Table'!$A1058," ","")=20),LEN('Special Help Table'!$A1058)-LEN(SUBSTITUTE('Special Help Table'!$A1058," and",""))=0,LEN('Special Help Table'!$A1058)-LEN(SUBSTITUTE('Special Help Table'!$A1058,",","",FIND(" ",'Special Help Table'!$A1058)+1))=0),RIGHT('Special Help Table'!$A1058,LEN('Special Help Table'!$A1058)-FIND(", ",'Special Help Table'!$A1058))&amp;" "&amp;LEFT('Special Help Table'!$A1058,FIND(",",'Special Help Table'!$A1058)-1),AND(LEN('Special Help Table'!$A1058)-LEN(SUBSTITUTE('Special Help Table'!$A1058,"editor",""))=6,LEN('Special Help Table'!$A1058)-LEN(SUBSTITUTE('Special Help Table'!$A1058,"(",""))=0,LEN('Special Help Table'!$A1058)-LEN(SUBSTITUTE('Special Help Table'!$A1058,"and",""))=3,LEN('Special Help Table'!$A1058)-LEN(SUBSTITUTE('Special Help Table'!$A1058,",",""))=1,LEN('Special Help Table'!$A1058)-LEN(SUBSTITUTE('Special Help Table'!$A1058," ",""))=3),'Special Help Table'!$A1058)</f>
        <v>0</v>
      </c>
      <c r="C1058" s="2"/>
      <c r="D1058" s="2"/>
      <c r="E1058" s="2"/>
      <c r="F1058" s="2"/>
      <c r="G1058" s="2"/>
      <c r="H1058" s="2"/>
      <c r="I1058" s="2"/>
      <c r="J1058" s="2"/>
      <c r="K1058" s="3"/>
      <c r="L1058" s="2"/>
      <c r="M1058" s="2"/>
      <c r="N1058" s="2" t="s">
        <v>1767</v>
      </c>
    </row>
    <row r="1059" spans="1:14" ht="15.75" customHeight="1" x14ac:dyDescent="0.35">
      <c r="A1059" s="2"/>
      <c r="B1059" s="2" cm="1">
        <f t="array" ref="B1059">_xlfn.IFS(AND(LEN('Special Help Table'!$A1059)-(LEN(SUBSTITUTE('Special Help Table'!$A1059,";","")))=0,LEN('Special Help Table'!$A1059)-LEN(SUBSTITUTE('Special Help Table'!$A1059,",",""))=1,LEN('Special Help Table'!$A1059)-LEN(SUBSTITUTE('Special Help Table'!$A1059,"and ",""))=0),MID('Special Help Table'!$A1059&amp;" "&amp;'Special Help Table'!$A1059,SEARCH(", ",'Special Help Table'!$A1059)+1,LEN('Special Help Table'!$A1059)),AND(LEN('Special Help Table'!$A1059)-(LEN(SUBSTITUTE('Special Help Table'!$A1059,";","")))=1,LEN('Special Help Table'!$A1059)-LEN(SUBSTITUTE('Special Help Table'!$A1059,"and ",""))=0),MID('Special Help Table'!$A1059,SEARCH(",",'Special Help Table'!$A1059)+1,(SEARCH(";",'Special Help Table'!$A1059)-1)-SEARCH(",",'Special Help Table'!$A1059))&amp;" "&amp;LEFT('Special Help Table'!$A1059,SEARCH(",",'Special Help Table'!$A1059)-1)&amp;";"&amp;RIGHT('Special Help Table'!$A1059,LEN('Special Help Table'!$A1059)-SEARCH(",",'Special Help Table'!$A1059,SEARCH(";",'Special Help Table'!$A1059)))&amp;" "&amp;MID('Special Help Table'!$A1059,SEARCH("; ",'Special Help Table'!$A1059)+2,SEARCH(",",'Special Help Table'!$A1059,SEARCH(";",'Special Help Table'!$A1059))-SEARCH(";",'Special Help Table'!$A1059)-2),AND(LEN('Special Help Table'!$A1059)-LEN(SUBSTITUTE('Special Help Table'!$A1059,"and ",""))=0,LEN('Special Help Table'!$A1059)-LEN(SUBSTITUTE('Special Help Table'!$A1059,";",""))=0),'Special Help Table'!$A1059,AND(LEN('Special Help Table'!$A1059)-LEN(SUBSTITUTE('Special Help Table'!$A1059,",","")=1),LEN('Special Help Table'!$A1059)-LEN(SUBSTITUTE('Special Help Table'!$A1059," ","")=20),LEN('Special Help Table'!$A1059)-LEN(SUBSTITUTE('Special Help Table'!$A1059," and",""))=0,LEN('Special Help Table'!$A1059)-LEN(SUBSTITUTE('Special Help Table'!$A1059,",","",FIND(" ",'Special Help Table'!$A1059)+1))=0),RIGHT('Special Help Table'!$A1059,LEN('Special Help Table'!$A1059)-FIND(", ",'Special Help Table'!$A1059))&amp;" "&amp;LEFT('Special Help Table'!$A1059,FIND(",",'Special Help Table'!$A1059)-1),AND(LEN('Special Help Table'!$A1059)-LEN(SUBSTITUTE('Special Help Table'!$A1059,"editor",""))=6,LEN('Special Help Table'!$A1059)-LEN(SUBSTITUTE('Special Help Table'!$A1059,"(",""))=0,LEN('Special Help Table'!$A1059)-LEN(SUBSTITUTE('Special Help Table'!$A1059,"and",""))=3,LEN('Special Help Table'!$A1059)-LEN(SUBSTITUTE('Special Help Table'!$A1059,",",""))=1,LEN('Special Help Table'!$A1059)-LEN(SUBSTITUTE('Special Help Table'!$A1059," ",""))=3),'Special Help Table'!$A1059)</f>
        <v>0</v>
      </c>
      <c r="C1059" s="2"/>
      <c r="D1059" s="2"/>
      <c r="E1059" s="2"/>
      <c r="F1059" s="2"/>
      <c r="G1059" s="2"/>
      <c r="H1059" s="2"/>
      <c r="I1059" s="2"/>
      <c r="J1059" s="2"/>
      <c r="K1059" s="3"/>
      <c r="L1059" s="2"/>
      <c r="M1059" s="2"/>
      <c r="N1059" s="2" t="s">
        <v>1767</v>
      </c>
    </row>
    <row r="1060" spans="1:14" ht="15.75" customHeight="1" x14ac:dyDescent="0.35">
      <c r="A1060" s="2"/>
      <c r="B1060" s="2" cm="1">
        <f t="array" ref="B1060">_xlfn.IFS(AND(LEN('Special Help Table'!$A1060)-(LEN(SUBSTITUTE('Special Help Table'!$A1060,";","")))=0,LEN('Special Help Table'!$A1060)-LEN(SUBSTITUTE('Special Help Table'!$A1060,",",""))=1,LEN('Special Help Table'!$A1060)-LEN(SUBSTITUTE('Special Help Table'!$A1060,"and ",""))=0),MID('Special Help Table'!$A1060&amp;" "&amp;'Special Help Table'!$A1060,SEARCH(", ",'Special Help Table'!$A1060)+1,LEN('Special Help Table'!$A1060)),AND(LEN('Special Help Table'!$A1060)-(LEN(SUBSTITUTE('Special Help Table'!$A1060,";","")))=1,LEN('Special Help Table'!$A1060)-LEN(SUBSTITUTE('Special Help Table'!$A1060,"and ",""))=0),MID('Special Help Table'!$A1060,SEARCH(",",'Special Help Table'!$A1060)+1,(SEARCH(";",'Special Help Table'!$A1060)-1)-SEARCH(",",'Special Help Table'!$A1060))&amp;" "&amp;LEFT('Special Help Table'!$A1060,SEARCH(",",'Special Help Table'!$A1060)-1)&amp;";"&amp;RIGHT('Special Help Table'!$A1060,LEN('Special Help Table'!$A1060)-SEARCH(",",'Special Help Table'!$A1060,SEARCH(";",'Special Help Table'!$A1060)))&amp;" "&amp;MID('Special Help Table'!$A1060,SEARCH("; ",'Special Help Table'!$A1060)+2,SEARCH(",",'Special Help Table'!$A1060,SEARCH(";",'Special Help Table'!$A1060))-SEARCH(";",'Special Help Table'!$A1060)-2),AND(LEN('Special Help Table'!$A1060)-LEN(SUBSTITUTE('Special Help Table'!$A1060,"and ",""))=0,LEN('Special Help Table'!$A1060)-LEN(SUBSTITUTE('Special Help Table'!$A1060,";",""))=0),'Special Help Table'!$A1060,AND(LEN('Special Help Table'!$A1060)-LEN(SUBSTITUTE('Special Help Table'!$A1060,",","")=1),LEN('Special Help Table'!$A1060)-LEN(SUBSTITUTE('Special Help Table'!$A1060," ","")=20),LEN('Special Help Table'!$A1060)-LEN(SUBSTITUTE('Special Help Table'!$A1060," and",""))=0,LEN('Special Help Table'!$A1060)-LEN(SUBSTITUTE('Special Help Table'!$A1060,",","",FIND(" ",'Special Help Table'!$A1060)+1))=0),RIGHT('Special Help Table'!$A1060,LEN('Special Help Table'!$A1060)-FIND(", ",'Special Help Table'!$A1060))&amp;" "&amp;LEFT('Special Help Table'!$A1060,FIND(",",'Special Help Table'!$A1060)-1),AND(LEN('Special Help Table'!$A1060)-LEN(SUBSTITUTE('Special Help Table'!$A1060,"editor",""))=6,LEN('Special Help Table'!$A1060)-LEN(SUBSTITUTE('Special Help Table'!$A1060,"(",""))=0,LEN('Special Help Table'!$A1060)-LEN(SUBSTITUTE('Special Help Table'!$A1060,"and",""))=3,LEN('Special Help Table'!$A1060)-LEN(SUBSTITUTE('Special Help Table'!$A1060,",",""))=1,LEN('Special Help Table'!$A1060)-LEN(SUBSTITUTE('Special Help Table'!$A1060," ",""))=3),'Special Help Table'!$A1060)</f>
        <v>0</v>
      </c>
      <c r="C1060" s="2"/>
      <c r="D1060" s="2"/>
      <c r="E1060" s="2"/>
      <c r="F1060" s="2"/>
      <c r="G1060" s="2"/>
      <c r="H1060" s="2"/>
      <c r="I1060" s="2"/>
      <c r="J1060" s="2"/>
      <c r="K1060" s="3"/>
      <c r="L1060" s="2"/>
      <c r="M1060" s="2"/>
      <c r="N1060" s="2" t="s">
        <v>1767</v>
      </c>
    </row>
    <row r="1061" spans="1:14" ht="15.75" customHeight="1" x14ac:dyDescent="0.35">
      <c r="A1061" s="2"/>
      <c r="B1061" s="2" cm="1">
        <f t="array" ref="B1061">_xlfn.IFS(AND(LEN('Special Help Table'!$A1061)-(LEN(SUBSTITUTE('Special Help Table'!$A1061,";","")))=0,LEN('Special Help Table'!$A1061)-LEN(SUBSTITUTE('Special Help Table'!$A1061,",",""))=1,LEN('Special Help Table'!$A1061)-LEN(SUBSTITUTE('Special Help Table'!$A1061,"and ",""))=0),MID('Special Help Table'!$A1061&amp;" "&amp;'Special Help Table'!$A1061,SEARCH(", ",'Special Help Table'!$A1061)+1,LEN('Special Help Table'!$A1061)),AND(LEN('Special Help Table'!$A1061)-(LEN(SUBSTITUTE('Special Help Table'!$A1061,";","")))=1,LEN('Special Help Table'!$A1061)-LEN(SUBSTITUTE('Special Help Table'!$A1061,"and ",""))=0),MID('Special Help Table'!$A1061,SEARCH(",",'Special Help Table'!$A1061)+1,(SEARCH(";",'Special Help Table'!$A1061)-1)-SEARCH(",",'Special Help Table'!$A1061))&amp;" "&amp;LEFT('Special Help Table'!$A1061,SEARCH(",",'Special Help Table'!$A1061)-1)&amp;";"&amp;RIGHT('Special Help Table'!$A1061,LEN('Special Help Table'!$A1061)-SEARCH(",",'Special Help Table'!$A1061,SEARCH(";",'Special Help Table'!$A1061)))&amp;" "&amp;MID('Special Help Table'!$A1061,SEARCH("; ",'Special Help Table'!$A1061)+2,SEARCH(",",'Special Help Table'!$A1061,SEARCH(";",'Special Help Table'!$A1061))-SEARCH(";",'Special Help Table'!$A1061)-2),AND(LEN('Special Help Table'!$A1061)-LEN(SUBSTITUTE('Special Help Table'!$A1061,"and ",""))=0,LEN('Special Help Table'!$A1061)-LEN(SUBSTITUTE('Special Help Table'!$A1061,";",""))=0),'Special Help Table'!$A1061,AND(LEN('Special Help Table'!$A1061)-LEN(SUBSTITUTE('Special Help Table'!$A1061,",","")=1),LEN('Special Help Table'!$A1061)-LEN(SUBSTITUTE('Special Help Table'!$A1061," ","")=20),LEN('Special Help Table'!$A1061)-LEN(SUBSTITUTE('Special Help Table'!$A1061," and",""))=0,LEN('Special Help Table'!$A1061)-LEN(SUBSTITUTE('Special Help Table'!$A1061,",","",FIND(" ",'Special Help Table'!$A1061)+1))=0),RIGHT('Special Help Table'!$A1061,LEN('Special Help Table'!$A1061)-FIND(", ",'Special Help Table'!$A1061))&amp;" "&amp;LEFT('Special Help Table'!$A1061,FIND(",",'Special Help Table'!$A1061)-1),AND(LEN('Special Help Table'!$A1061)-LEN(SUBSTITUTE('Special Help Table'!$A1061,"editor",""))=6,LEN('Special Help Table'!$A1061)-LEN(SUBSTITUTE('Special Help Table'!$A1061,"(",""))=0,LEN('Special Help Table'!$A1061)-LEN(SUBSTITUTE('Special Help Table'!$A1061,"and",""))=3,LEN('Special Help Table'!$A1061)-LEN(SUBSTITUTE('Special Help Table'!$A1061,",",""))=1,LEN('Special Help Table'!$A1061)-LEN(SUBSTITUTE('Special Help Table'!$A1061," ",""))=3),'Special Help Table'!$A1061)</f>
        <v>0</v>
      </c>
      <c r="C1061" s="2"/>
      <c r="D1061" s="2"/>
      <c r="E1061" s="2"/>
      <c r="F1061" s="2"/>
      <c r="G1061" s="2"/>
      <c r="H1061" s="2"/>
      <c r="I1061" s="2"/>
      <c r="J1061" s="2"/>
      <c r="K1061" s="3"/>
      <c r="L1061" s="2"/>
      <c r="M1061" s="2"/>
      <c r="N1061" s="2" t="s">
        <v>1767</v>
      </c>
    </row>
    <row r="1062" spans="1:14" ht="15.75" customHeight="1" x14ac:dyDescent="0.35">
      <c r="A1062" s="2"/>
      <c r="B1062" s="2" cm="1">
        <f t="array" ref="B1062">_xlfn.IFS(AND(LEN('Special Help Table'!$A1062)-(LEN(SUBSTITUTE('Special Help Table'!$A1062,";","")))=0,LEN('Special Help Table'!$A1062)-LEN(SUBSTITUTE('Special Help Table'!$A1062,",",""))=1,LEN('Special Help Table'!$A1062)-LEN(SUBSTITUTE('Special Help Table'!$A1062,"and ",""))=0),MID('Special Help Table'!$A1062&amp;" "&amp;'Special Help Table'!$A1062,SEARCH(", ",'Special Help Table'!$A1062)+1,LEN('Special Help Table'!$A1062)),AND(LEN('Special Help Table'!$A1062)-(LEN(SUBSTITUTE('Special Help Table'!$A1062,";","")))=1,LEN('Special Help Table'!$A1062)-LEN(SUBSTITUTE('Special Help Table'!$A1062,"and ",""))=0),MID('Special Help Table'!$A1062,SEARCH(",",'Special Help Table'!$A1062)+1,(SEARCH(";",'Special Help Table'!$A1062)-1)-SEARCH(",",'Special Help Table'!$A1062))&amp;" "&amp;LEFT('Special Help Table'!$A1062,SEARCH(",",'Special Help Table'!$A1062)-1)&amp;";"&amp;RIGHT('Special Help Table'!$A1062,LEN('Special Help Table'!$A1062)-SEARCH(",",'Special Help Table'!$A1062,SEARCH(";",'Special Help Table'!$A1062)))&amp;" "&amp;MID('Special Help Table'!$A1062,SEARCH("; ",'Special Help Table'!$A1062)+2,SEARCH(",",'Special Help Table'!$A1062,SEARCH(";",'Special Help Table'!$A1062))-SEARCH(";",'Special Help Table'!$A1062)-2),AND(LEN('Special Help Table'!$A1062)-LEN(SUBSTITUTE('Special Help Table'!$A1062,"and ",""))=0,LEN('Special Help Table'!$A1062)-LEN(SUBSTITUTE('Special Help Table'!$A1062,";",""))=0),'Special Help Table'!$A1062,AND(LEN('Special Help Table'!$A1062)-LEN(SUBSTITUTE('Special Help Table'!$A1062,",","")=1),LEN('Special Help Table'!$A1062)-LEN(SUBSTITUTE('Special Help Table'!$A1062," ","")=20),LEN('Special Help Table'!$A1062)-LEN(SUBSTITUTE('Special Help Table'!$A1062," and",""))=0,LEN('Special Help Table'!$A1062)-LEN(SUBSTITUTE('Special Help Table'!$A1062,",","",FIND(" ",'Special Help Table'!$A1062)+1))=0),RIGHT('Special Help Table'!$A1062,LEN('Special Help Table'!$A1062)-FIND(", ",'Special Help Table'!$A1062))&amp;" "&amp;LEFT('Special Help Table'!$A1062,FIND(",",'Special Help Table'!$A1062)-1),AND(LEN('Special Help Table'!$A1062)-LEN(SUBSTITUTE('Special Help Table'!$A1062,"editor",""))=6,LEN('Special Help Table'!$A1062)-LEN(SUBSTITUTE('Special Help Table'!$A1062,"(",""))=0,LEN('Special Help Table'!$A1062)-LEN(SUBSTITUTE('Special Help Table'!$A1062,"and",""))=3,LEN('Special Help Table'!$A1062)-LEN(SUBSTITUTE('Special Help Table'!$A1062,",",""))=1,LEN('Special Help Table'!$A1062)-LEN(SUBSTITUTE('Special Help Table'!$A1062," ",""))=3),'Special Help Table'!$A1062)</f>
        <v>0</v>
      </c>
      <c r="C1062" s="2"/>
      <c r="D1062" s="2"/>
      <c r="E1062" s="2"/>
      <c r="F1062" s="2"/>
      <c r="G1062" s="2"/>
      <c r="H1062" s="2"/>
      <c r="I1062" s="2"/>
      <c r="J1062" s="2"/>
      <c r="K1062" s="3"/>
      <c r="L1062" s="2"/>
      <c r="M1062" s="2"/>
      <c r="N1062" s="2" t="s">
        <v>1767</v>
      </c>
    </row>
    <row r="1063" spans="1:14" ht="15.75" customHeight="1" x14ac:dyDescent="0.35">
      <c r="A1063" s="2"/>
      <c r="B1063" s="2" cm="1">
        <f t="array" ref="B1063">_xlfn.IFS(AND(LEN('Special Help Table'!$A1063)-(LEN(SUBSTITUTE('Special Help Table'!$A1063,";","")))=0,LEN('Special Help Table'!$A1063)-LEN(SUBSTITUTE('Special Help Table'!$A1063,",",""))=1,LEN('Special Help Table'!$A1063)-LEN(SUBSTITUTE('Special Help Table'!$A1063,"and ",""))=0),MID('Special Help Table'!$A1063&amp;" "&amp;'Special Help Table'!$A1063,SEARCH(", ",'Special Help Table'!$A1063)+1,LEN('Special Help Table'!$A1063)),AND(LEN('Special Help Table'!$A1063)-(LEN(SUBSTITUTE('Special Help Table'!$A1063,";","")))=1,LEN('Special Help Table'!$A1063)-LEN(SUBSTITUTE('Special Help Table'!$A1063,"and ",""))=0),MID('Special Help Table'!$A1063,SEARCH(",",'Special Help Table'!$A1063)+1,(SEARCH(";",'Special Help Table'!$A1063)-1)-SEARCH(",",'Special Help Table'!$A1063))&amp;" "&amp;LEFT('Special Help Table'!$A1063,SEARCH(",",'Special Help Table'!$A1063)-1)&amp;";"&amp;RIGHT('Special Help Table'!$A1063,LEN('Special Help Table'!$A1063)-SEARCH(",",'Special Help Table'!$A1063,SEARCH(";",'Special Help Table'!$A1063)))&amp;" "&amp;MID('Special Help Table'!$A1063,SEARCH("; ",'Special Help Table'!$A1063)+2,SEARCH(",",'Special Help Table'!$A1063,SEARCH(";",'Special Help Table'!$A1063))-SEARCH(";",'Special Help Table'!$A1063)-2),AND(LEN('Special Help Table'!$A1063)-LEN(SUBSTITUTE('Special Help Table'!$A1063,"and ",""))=0,LEN('Special Help Table'!$A1063)-LEN(SUBSTITUTE('Special Help Table'!$A1063,";",""))=0),'Special Help Table'!$A1063,AND(LEN('Special Help Table'!$A1063)-LEN(SUBSTITUTE('Special Help Table'!$A1063,",","")=1),LEN('Special Help Table'!$A1063)-LEN(SUBSTITUTE('Special Help Table'!$A1063," ","")=20),LEN('Special Help Table'!$A1063)-LEN(SUBSTITUTE('Special Help Table'!$A1063," and",""))=0,LEN('Special Help Table'!$A1063)-LEN(SUBSTITUTE('Special Help Table'!$A1063,",","",FIND(" ",'Special Help Table'!$A1063)+1))=0),RIGHT('Special Help Table'!$A1063,LEN('Special Help Table'!$A1063)-FIND(", ",'Special Help Table'!$A1063))&amp;" "&amp;LEFT('Special Help Table'!$A1063,FIND(",",'Special Help Table'!$A1063)-1),AND(LEN('Special Help Table'!$A1063)-LEN(SUBSTITUTE('Special Help Table'!$A1063,"editor",""))=6,LEN('Special Help Table'!$A1063)-LEN(SUBSTITUTE('Special Help Table'!$A1063,"(",""))=0,LEN('Special Help Table'!$A1063)-LEN(SUBSTITUTE('Special Help Table'!$A1063,"and",""))=3,LEN('Special Help Table'!$A1063)-LEN(SUBSTITUTE('Special Help Table'!$A1063,",",""))=1,LEN('Special Help Table'!$A1063)-LEN(SUBSTITUTE('Special Help Table'!$A1063," ",""))=3),'Special Help Table'!$A1063)</f>
        <v>0</v>
      </c>
      <c r="C1063" s="2"/>
      <c r="D1063" s="2"/>
      <c r="E1063" s="2"/>
      <c r="F1063" s="2"/>
      <c r="G1063" s="2"/>
      <c r="H1063" s="2"/>
      <c r="I1063" s="2"/>
      <c r="J1063" s="2"/>
      <c r="K1063" s="3"/>
      <c r="L1063" s="2"/>
      <c r="M1063" s="2"/>
      <c r="N1063" s="2" t="s">
        <v>1767</v>
      </c>
    </row>
    <row r="1064" spans="1:14" ht="15.75" customHeight="1" x14ac:dyDescent="0.35">
      <c r="A1064" s="2"/>
      <c r="B1064" s="2" cm="1">
        <f t="array" ref="B1064">_xlfn.IFS(AND(LEN('Special Help Table'!$A1064)-(LEN(SUBSTITUTE('Special Help Table'!$A1064,";","")))=0,LEN('Special Help Table'!$A1064)-LEN(SUBSTITUTE('Special Help Table'!$A1064,",",""))=1,LEN('Special Help Table'!$A1064)-LEN(SUBSTITUTE('Special Help Table'!$A1064,"and ",""))=0),MID('Special Help Table'!$A1064&amp;" "&amp;'Special Help Table'!$A1064,SEARCH(", ",'Special Help Table'!$A1064)+1,LEN('Special Help Table'!$A1064)),AND(LEN('Special Help Table'!$A1064)-(LEN(SUBSTITUTE('Special Help Table'!$A1064,";","")))=1,LEN('Special Help Table'!$A1064)-LEN(SUBSTITUTE('Special Help Table'!$A1064,"and ",""))=0),MID('Special Help Table'!$A1064,SEARCH(",",'Special Help Table'!$A1064)+1,(SEARCH(";",'Special Help Table'!$A1064)-1)-SEARCH(",",'Special Help Table'!$A1064))&amp;" "&amp;LEFT('Special Help Table'!$A1064,SEARCH(",",'Special Help Table'!$A1064)-1)&amp;";"&amp;RIGHT('Special Help Table'!$A1064,LEN('Special Help Table'!$A1064)-SEARCH(",",'Special Help Table'!$A1064,SEARCH(";",'Special Help Table'!$A1064)))&amp;" "&amp;MID('Special Help Table'!$A1064,SEARCH("; ",'Special Help Table'!$A1064)+2,SEARCH(",",'Special Help Table'!$A1064,SEARCH(";",'Special Help Table'!$A1064))-SEARCH(";",'Special Help Table'!$A1064)-2),AND(LEN('Special Help Table'!$A1064)-LEN(SUBSTITUTE('Special Help Table'!$A1064,"and ",""))=0,LEN('Special Help Table'!$A1064)-LEN(SUBSTITUTE('Special Help Table'!$A1064,";",""))=0),'Special Help Table'!$A1064,AND(LEN('Special Help Table'!$A1064)-LEN(SUBSTITUTE('Special Help Table'!$A1064,",","")=1),LEN('Special Help Table'!$A1064)-LEN(SUBSTITUTE('Special Help Table'!$A1064," ","")=20),LEN('Special Help Table'!$A1064)-LEN(SUBSTITUTE('Special Help Table'!$A1064," and",""))=0,LEN('Special Help Table'!$A1064)-LEN(SUBSTITUTE('Special Help Table'!$A1064,",","",FIND(" ",'Special Help Table'!$A1064)+1))=0),RIGHT('Special Help Table'!$A1064,LEN('Special Help Table'!$A1064)-FIND(", ",'Special Help Table'!$A1064))&amp;" "&amp;LEFT('Special Help Table'!$A1064,FIND(",",'Special Help Table'!$A1064)-1),AND(LEN('Special Help Table'!$A1064)-LEN(SUBSTITUTE('Special Help Table'!$A1064,"editor",""))=6,LEN('Special Help Table'!$A1064)-LEN(SUBSTITUTE('Special Help Table'!$A1064,"(",""))=0,LEN('Special Help Table'!$A1064)-LEN(SUBSTITUTE('Special Help Table'!$A1064,"and",""))=3,LEN('Special Help Table'!$A1064)-LEN(SUBSTITUTE('Special Help Table'!$A1064,",",""))=1,LEN('Special Help Table'!$A1064)-LEN(SUBSTITUTE('Special Help Table'!$A1064," ",""))=3),'Special Help Table'!$A1064)</f>
        <v>0</v>
      </c>
      <c r="C1064" s="2"/>
      <c r="D1064" s="2"/>
      <c r="E1064" s="2"/>
      <c r="F1064" s="2"/>
      <c r="G1064" s="2"/>
      <c r="H1064" s="2"/>
      <c r="I1064" s="2"/>
      <c r="J1064" s="2"/>
      <c r="K1064" s="3"/>
      <c r="L1064" s="2"/>
      <c r="M1064" s="2"/>
      <c r="N1064" s="2" t="s">
        <v>1767</v>
      </c>
    </row>
    <row r="1065" spans="1:14" ht="15.75" customHeight="1" x14ac:dyDescent="0.35">
      <c r="A1065" s="2"/>
      <c r="B1065" s="2" cm="1">
        <f t="array" ref="B1065">_xlfn.IFS(AND(LEN('Special Help Table'!$A1065)-(LEN(SUBSTITUTE('Special Help Table'!$A1065,";","")))=0,LEN('Special Help Table'!$A1065)-LEN(SUBSTITUTE('Special Help Table'!$A1065,",",""))=1,LEN('Special Help Table'!$A1065)-LEN(SUBSTITUTE('Special Help Table'!$A1065,"and ",""))=0),MID('Special Help Table'!$A1065&amp;" "&amp;'Special Help Table'!$A1065,SEARCH(", ",'Special Help Table'!$A1065)+1,LEN('Special Help Table'!$A1065)),AND(LEN('Special Help Table'!$A1065)-(LEN(SUBSTITUTE('Special Help Table'!$A1065,";","")))=1,LEN('Special Help Table'!$A1065)-LEN(SUBSTITUTE('Special Help Table'!$A1065,"and ",""))=0),MID('Special Help Table'!$A1065,SEARCH(",",'Special Help Table'!$A1065)+1,(SEARCH(";",'Special Help Table'!$A1065)-1)-SEARCH(",",'Special Help Table'!$A1065))&amp;" "&amp;LEFT('Special Help Table'!$A1065,SEARCH(",",'Special Help Table'!$A1065)-1)&amp;";"&amp;RIGHT('Special Help Table'!$A1065,LEN('Special Help Table'!$A1065)-SEARCH(",",'Special Help Table'!$A1065,SEARCH(";",'Special Help Table'!$A1065)))&amp;" "&amp;MID('Special Help Table'!$A1065,SEARCH("; ",'Special Help Table'!$A1065)+2,SEARCH(",",'Special Help Table'!$A1065,SEARCH(";",'Special Help Table'!$A1065))-SEARCH(";",'Special Help Table'!$A1065)-2),AND(LEN('Special Help Table'!$A1065)-LEN(SUBSTITUTE('Special Help Table'!$A1065,"and ",""))=0,LEN('Special Help Table'!$A1065)-LEN(SUBSTITUTE('Special Help Table'!$A1065,";",""))=0),'Special Help Table'!$A1065,AND(LEN('Special Help Table'!$A1065)-LEN(SUBSTITUTE('Special Help Table'!$A1065,",","")=1),LEN('Special Help Table'!$A1065)-LEN(SUBSTITUTE('Special Help Table'!$A1065," ","")=20),LEN('Special Help Table'!$A1065)-LEN(SUBSTITUTE('Special Help Table'!$A1065," and",""))=0,LEN('Special Help Table'!$A1065)-LEN(SUBSTITUTE('Special Help Table'!$A1065,",","",FIND(" ",'Special Help Table'!$A1065)+1))=0),RIGHT('Special Help Table'!$A1065,LEN('Special Help Table'!$A1065)-FIND(", ",'Special Help Table'!$A1065))&amp;" "&amp;LEFT('Special Help Table'!$A1065,FIND(",",'Special Help Table'!$A1065)-1),AND(LEN('Special Help Table'!$A1065)-LEN(SUBSTITUTE('Special Help Table'!$A1065,"editor",""))=6,LEN('Special Help Table'!$A1065)-LEN(SUBSTITUTE('Special Help Table'!$A1065,"(",""))=0,LEN('Special Help Table'!$A1065)-LEN(SUBSTITUTE('Special Help Table'!$A1065,"and",""))=3,LEN('Special Help Table'!$A1065)-LEN(SUBSTITUTE('Special Help Table'!$A1065,",",""))=1,LEN('Special Help Table'!$A1065)-LEN(SUBSTITUTE('Special Help Table'!$A1065," ",""))=3),'Special Help Table'!$A1065)</f>
        <v>0</v>
      </c>
      <c r="C1065" s="2"/>
      <c r="D1065" s="2"/>
      <c r="E1065" s="2"/>
      <c r="F1065" s="2"/>
      <c r="G1065" s="2"/>
      <c r="H1065" s="2"/>
      <c r="I1065" s="2"/>
      <c r="J1065" s="2"/>
      <c r="K1065" s="3"/>
      <c r="L1065" s="2"/>
      <c r="M1065" s="2"/>
      <c r="N1065" s="2" t="s">
        <v>1767</v>
      </c>
    </row>
    <row r="1066" spans="1:14" ht="15.75" customHeight="1" x14ac:dyDescent="0.35">
      <c r="A1066" s="2"/>
      <c r="B1066" s="2" cm="1">
        <f t="array" ref="B1066">_xlfn.IFS(AND(LEN('Special Help Table'!$A1066)-(LEN(SUBSTITUTE('Special Help Table'!$A1066,";","")))=0,LEN('Special Help Table'!$A1066)-LEN(SUBSTITUTE('Special Help Table'!$A1066,",",""))=1,LEN('Special Help Table'!$A1066)-LEN(SUBSTITUTE('Special Help Table'!$A1066,"and ",""))=0),MID('Special Help Table'!$A1066&amp;" "&amp;'Special Help Table'!$A1066,SEARCH(", ",'Special Help Table'!$A1066)+1,LEN('Special Help Table'!$A1066)),AND(LEN('Special Help Table'!$A1066)-(LEN(SUBSTITUTE('Special Help Table'!$A1066,";","")))=1,LEN('Special Help Table'!$A1066)-LEN(SUBSTITUTE('Special Help Table'!$A1066,"and ",""))=0),MID('Special Help Table'!$A1066,SEARCH(",",'Special Help Table'!$A1066)+1,(SEARCH(";",'Special Help Table'!$A1066)-1)-SEARCH(",",'Special Help Table'!$A1066))&amp;" "&amp;LEFT('Special Help Table'!$A1066,SEARCH(",",'Special Help Table'!$A1066)-1)&amp;";"&amp;RIGHT('Special Help Table'!$A1066,LEN('Special Help Table'!$A1066)-SEARCH(",",'Special Help Table'!$A1066,SEARCH(";",'Special Help Table'!$A1066)))&amp;" "&amp;MID('Special Help Table'!$A1066,SEARCH("; ",'Special Help Table'!$A1066)+2,SEARCH(",",'Special Help Table'!$A1066,SEARCH(";",'Special Help Table'!$A1066))-SEARCH(";",'Special Help Table'!$A1066)-2),AND(LEN('Special Help Table'!$A1066)-LEN(SUBSTITUTE('Special Help Table'!$A1066,"and ",""))=0,LEN('Special Help Table'!$A1066)-LEN(SUBSTITUTE('Special Help Table'!$A1066,";",""))=0),'Special Help Table'!$A1066,AND(LEN('Special Help Table'!$A1066)-LEN(SUBSTITUTE('Special Help Table'!$A1066,",","")=1),LEN('Special Help Table'!$A1066)-LEN(SUBSTITUTE('Special Help Table'!$A1066," ","")=20),LEN('Special Help Table'!$A1066)-LEN(SUBSTITUTE('Special Help Table'!$A1066," and",""))=0,LEN('Special Help Table'!$A1066)-LEN(SUBSTITUTE('Special Help Table'!$A1066,",","",FIND(" ",'Special Help Table'!$A1066)+1))=0),RIGHT('Special Help Table'!$A1066,LEN('Special Help Table'!$A1066)-FIND(", ",'Special Help Table'!$A1066))&amp;" "&amp;LEFT('Special Help Table'!$A1066,FIND(",",'Special Help Table'!$A1066)-1),AND(LEN('Special Help Table'!$A1066)-LEN(SUBSTITUTE('Special Help Table'!$A1066,"editor",""))=6,LEN('Special Help Table'!$A1066)-LEN(SUBSTITUTE('Special Help Table'!$A1066,"(",""))=0,LEN('Special Help Table'!$A1066)-LEN(SUBSTITUTE('Special Help Table'!$A1066,"and",""))=3,LEN('Special Help Table'!$A1066)-LEN(SUBSTITUTE('Special Help Table'!$A1066,",",""))=1,LEN('Special Help Table'!$A1066)-LEN(SUBSTITUTE('Special Help Table'!$A1066," ",""))=3),'Special Help Table'!$A1066)</f>
        <v>0</v>
      </c>
      <c r="C1066" s="2"/>
      <c r="D1066" s="2"/>
      <c r="E1066" s="2"/>
      <c r="F1066" s="2"/>
      <c r="G1066" s="2"/>
      <c r="H1066" s="2"/>
      <c r="I1066" s="2"/>
      <c r="J1066" s="2"/>
      <c r="K1066" s="3"/>
      <c r="L1066" s="2"/>
      <c r="M1066" s="2"/>
      <c r="N1066" s="2" t="s">
        <v>1767</v>
      </c>
    </row>
    <row r="1067" spans="1:14" ht="15.75" customHeight="1" x14ac:dyDescent="0.35">
      <c r="A1067" s="2"/>
      <c r="B1067" s="2" cm="1">
        <f t="array" ref="B1067">_xlfn.IFS(AND(LEN('Special Help Table'!$A1067)-(LEN(SUBSTITUTE('Special Help Table'!$A1067,";","")))=0,LEN('Special Help Table'!$A1067)-LEN(SUBSTITUTE('Special Help Table'!$A1067,",",""))=1,LEN('Special Help Table'!$A1067)-LEN(SUBSTITUTE('Special Help Table'!$A1067,"and ",""))=0),MID('Special Help Table'!$A1067&amp;" "&amp;'Special Help Table'!$A1067,SEARCH(", ",'Special Help Table'!$A1067)+1,LEN('Special Help Table'!$A1067)),AND(LEN('Special Help Table'!$A1067)-(LEN(SUBSTITUTE('Special Help Table'!$A1067,";","")))=1,LEN('Special Help Table'!$A1067)-LEN(SUBSTITUTE('Special Help Table'!$A1067,"and ",""))=0),MID('Special Help Table'!$A1067,SEARCH(",",'Special Help Table'!$A1067)+1,(SEARCH(";",'Special Help Table'!$A1067)-1)-SEARCH(",",'Special Help Table'!$A1067))&amp;" "&amp;LEFT('Special Help Table'!$A1067,SEARCH(",",'Special Help Table'!$A1067)-1)&amp;";"&amp;RIGHT('Special Help Table'!$A1067,LEN('Special Help Table'!$A1067)-SEARCH(",",'Special Help Table'!$A1067,SEARCH(";",'Special Help Table'!$A1067)))&amp;" "&amp;MID('Special Help Table'!$A1067,SEARCH("; ",'Special Help Table'!$A1067)+2,SEARCH(",",'Special Help Table'!$A1067,SEARCH(";",'Special Help Table'!$A1067))-SEARCH(";",'Special Help Table'!$A1067)-2),AND(LEN('Special Help Table'!$A1067)-LEN(SUBSTITUTE('Special Help Table'!$A1067,"and ",""))=0,LEN('Special Help Table'!$A1067)-LEN(SUBSTITUTE('Special Help Table'!$A1067,";",""))=0),'Special Help Table'!$A1067,AND(LEN('Special Help Table'!$A1067)-LEN(SUBSTITUTE('Special Help Table'!$A1067,",","")=1),LEN('Special Help Table'!$A1067)-LEN(SUBSTITUTE('Special Help Table'!$A1067," ","")=20),LEN('Special Help Table'!$A1067)-LEN(SUBSTITUTE('Special Help Table'!$A1067," and",""))=0,LEN('Special Help Table'!$A1067)-LEN(SUBSTITUTE('Special Help Table'!$A1067,",","",FIND(" ",'Special Help Table'!$A1067)+1))=0),RIGHT('Special Help Table'!$A1067,LEN('Special Help Table'!$A1067)-FIND(", ",'Special Help Table'!$A1067))&amp;" "&amp;LEFT('Special Help Table'!$A1067,FIND(",",'Special Help Table'!$A1067)-1),AND(LEN('Special Help Table'!$A1067)-LEN(SUBSTITUTE('Special Help Table'!$A1067,"editor",""))=6,LEN('Special Help Table'!$A1067)-LEN(SUBSTITUTE('Special Help Table'!$A1067,"(",""))=0,LEN('Special Help Table'!$A1067)-LEN(SUBSTITUTE('Special Help Table'!$A1067,"and",""))=3,LEN('Special Help Table'!$A1067)-LEN(SUBSTITUTE('Special Help Table'!$A1067,",",""))=1,LEN('Special Help Table'!$A1067)-LEN(SUBSTITUTE('Special Help Table'!$A1067," ",""))=3),'Special Help Table'!$A1067)</f>
        <v>0</v>
      </c>
      <c r="C1067" s="2"/>
      <c r="D1067" s="2"/>
      <c r="E1067" s="2"/>
      <c r="F1067" s="2"/>
      <c r="G1067" s="2"/>
      <c r="H1067" s="2"/>
      <c r="I1067" s="2"/>
      <c r="J1067" s="2"/>
      <c r="K1067" s="3"/>
      <c r="L1067" s="2"/>
      <c r="M1067" s="2"/>
      <c r="N1067" s="2" t="s">
        <v>1767</v>
      </c>
    </row>
    <row r="1068" spans="1:14" ht="15.75" customHeight="1" x14ac:dyDescent="0.35">
      <c r="A1068" s="2"/>
      <c r="B1068" s="2" cm="1">
        <f t="array" ref="B1068">_xlfn.IFS(AND(LEN('Special Help Table'!$A1068)-(LEN(SUBSTITUTE('Special Help Table'!$A1068,";","")))=0,LEN('Special Help Table'!$A1068)-LEN(SUBSTITUTE('Special Help Table'!$A1068,",",""))=1,LEN('Special Help Table'!$A1068)-LEN(SUBSTITUTE('Special Help Table'!$A1068,"and ",""))=0),MID('Special Help Table'!$A1068&amp;" "&amp;'Special Help Table'!$A1068,SEARCH(", ",'Special Help Table'!$A1068)+1,LEN('Special Help Table'!$A1068)),AND(LEN('Special Help Table'!$A1068)-(LEN(SUBSTITUTE('Special Help Table'!$A1068,";","")))=1,LEN('Special Help Table'!$A1068)-LEN(SUBSTITUTE('Special Help Table'!$A1068,"and ",""))=0),MID('Special Help Table'!$A1068,SEARCH(",",'Special Help Table'!$A1068)+1,(SEARCH(";",'Special Help Table'!$A1068)-1)-SEARCH(",",'Special Help Table'!$A1068))&amp;" "&amp;LEFT('Special Help Table'!$A1068,SEARCH(",",'Special Help Table'!$A1068)-1)&amp;";"&amp;RIGHT('Special Help Table'!$A1068,LEN('Special Help Table'!$A1068)-SEARCH(",",'Special Help Table'!$A1068,SEARCH(";",'Special Help Table'!$A1068)))&amp;" "&amp;MID('Special Help Table'!$A1068,SEARCH("; ",'Special Help Table'!$A1068)+2,SEARCH(",",'Special Help Table'!$A1068,SEARCH(";",'Special Help Table'!$A1068))-SEARCH(";",'Special Help Table'!$A1068)-2),AND(LEN('Special Help Table'!$A1068)-LEN(SUBSTITUTE('Special Help Table'!$A1068,"and ",""))=0,LEN('Special Help Table'!$A1068)-LEN(SUBSTITUTE('Special Help Table'!$A1068,";",""))=0),'Special Help Table'!$A1068,AND(LEN('Special Help Table'!$A1068)-LEN(SUBSTITUTE('Special Help Table'!$A1068,",","")=1),LEN('Special Help Table'!$A1068)-LEN(SUBSTITUTE('Special Help Table'!$A1068," ","")=20),LEN('Special Help Table'!$A1068)-LEN(SUBSTITUTE('Special Help Table'!$A1068," and",""))=0,LEN('Special Help Table'!$A1068)-LEN(SUBSTITUTE('Special Help Table'!$A1068,",","",FIND(" ",'Special Help Table'!$A1068)+1))=0),RIGHT('Special Help Table'!$A1068,LEN('Special Help Table'!$A1068)-FIND(", ",'Special Help Table'!$A1068))&amp;" "&amp;LEFT('Special Help Table'!$A1068,FIND(",",'Special Help Table'!$A1068)-1),AND(LEN('Special Help Table'!$A1068)-LEN(SUBSTITUTE('Special Help Table'!$A1068,"editor",""))=6,LEN('Special Help Table'!$A1068)-LEN(SUBSTITUTE('Special Help Table'!$A1068,"(",""))=0,LEN('Special Help Table'!$A1068)-LEN(SUBSTITUTE('Special Help Table'!$A1068,"and",""))=3,LEN('Special Help Table'!$A1068)-LEN(SUBSTITUTE('Special Help Table'!$A1068,",",""))=1,LEN('Special Help Table'!$A1068)-LEN(SUBSTITUTE('Special Help Table'!$A1068," ",""))=3),'Special Help Table'!$A1068)</f>
        <v>0</v>
      </c>
      <c r="C1068" s="2"/>
      <c r="D1068" s="2"/>
      <c r="E1068" s="2"/>
      <c r="F1068" s="2"/>
      <c r="G1068" s="2"/>
      <c r="H1068" s="2"/>
      <c r="I1068" s="2"/>
      <c r="J1068" s="2"/>
      <c r="K1068" s="3"/>
      <c r="L1068" s="2"/>
      <c r="M1068" s="2"/>
      <c r="N1068" s="2" t="s">
        <v>1767</v>
      </c>
    </row>
    <row r="1069" spans="1:14" ht="15.75" customHeight="1" x14ac:dyDescent="0.35">
      <c r="A1069" s="2"/>
      <c r="B1069" s="2" cm="1">
        <f t="array" ref="B1069">_xlfn.IFS(AND(LEN('Special Help Table'!$A1069)-(LEN(SUBSTITUTE('Special Help Table'!$A1069,";","")))=0,LEN('Special Help Table'!$A1069)-LEN(SUBSTITUTE('Special Help Table'!$A1069,",",""))=1,LEN('Special Help Table'!$A1069)-LEN(SUBSTITUTE('Special Help Table'!$A1069,"and ",""))=0),MID('Special Help Table'!$A1069&amp;" "&amp;'Special Help Table'!$A1069,SEARCH(", ",'Special Help Table'!$A1069)+1,LEN('Special Help Table'!$A1069)),AND(LEN('Special Help Table'!$A1069)-(LEN(SUBSTITUTE('Special Help Table'!$A1069,";","")))=1,LEN('Special Help Table'!$A1069)-LEN(SUBSTITUTE('Special Help Table'!$A1069,"and ",""))=0),MID('Special Help Table'!$A1069,SEARCH(",",'Special Help Table'!$A1069)+1,(SEARCH(";",'Special Help Table'!$A1069)-1)-SEARCH(",",'Special Help Table'!$A1069))&amp;" "&amp;LEFT('Special Help Table'!$A1069,SEARCH(",",'Special Help Table'!$A1069)-1)&amp;";"&amp;RIGHT('Special Help Table'!$A1069,LEN('Special Help Table'!$A1069)-SEARCH(",",'Special Help Table'!$A1069,SEARCH(";",'Special Help Table'!$A1069)))&amp;" "&amp;MID('Special Help Table'!$A1069,SEARCH("; ",'Special Help Table'!$A1069)+2,SEARCH(",",'Special Help Table'!$A1069,SEARCH(";",'Special Help Table'!$A1069))-SEARCH(";",'Special Help Table'!$A1069)-2),AND(LEN('Special Help Table'!$A1069)-LEN(SUBSTITUTE('Special Help Table'!$A1069,"and ",""))=0,LEN('Special Help Table'!$A1069)-LEN(SUBSTITUTE('Special Help Table'!$A1069,";",""))=0),'Special Help Table'!$A1069,AND(LEN('Special Help Table'!$A1069)-LEN(SUBSTITUTE('Special Help Table'!$A1069,",","")=1),LEN('Special Help Table'!$A1069)-LEN(SUBSTITUTE('Special Help Table'!$A1069," ","")=20),LEN('Special Help Table'!$A1069)-LEN(SUBSTITUTE('Special Help Table'!$A1069," and",""))=0,LEN('Special Help Table'!$A1069)-LEN(SUBSTITUTE('Special Help Table'!$A1069,",","",FIND(" ",'Special Help Table'!$A1069)+1))=0),RIGHT('Special Help Table'!$A1069,LEN('Special Help Table'!$A1069)-FIND(", ",'Special Help Table'!$A1069))&amp;" "&amp;LEFT('Special Help Table'!$A1069,FIND(",",'Special Help Table'!$A1069)-1),AND(LEN('Special Help Table'!$A1069)-LEN(SUBSTITUTE('Special Help Table'!$A1069,"editor",""))=6,LEN('Special Help Table'!$A1069)-LEN(SUBSTITUTE('Special Help Table'!$A1069,"(",""))=0,LEN('Special Help Table'!$A1069)-LEN(SUBSTITUTE('Special Help Table'!$A1069,"and",""))=3,LEN('Special Help Table'!$A1069)-LEN(SUBSTITUTE('Special Help Table'!$A1069,",",""))=1,LEN('Special Help Table'!$A1069)-LEN(SUBSTITUTE('Special Help Table'!$A1069," ",""))=3),'Special Help Table'!$A1069)</f>
        <v>0</v>
      </c>
      <c r="C1069" s="2"/>
      <c r="D1069" s="2"/>
      <c r="E1069" s="2"/>
      <c r="F1069" s="2"/>
      <c r="G1069" s="2"/>
      <c r="H1069" s="2"/>
      <c r="I1069" s="2"/>
      <c r="J1069" s="2"/>
      <c r="K1069" s="3"/>
      <c r="L1069" s="2"/>
      <c r="M1069" s="2"/>
      <c r="N1069" s="2" t="s">
        <v>1767</v>
      </c>
    </row>
    <row r="1070" spans="1:14" ht="15.75" customHeight="1" x14ac:dyDescent="0.35">
      <c r="A1070" s="2"/>
      <c r="B1070" s="2" cm="1">
        <f t="array" ref="B1070">_xlfn.IFS(AND(LEN('Special Help Table'!$A1070)-(LEN(SUBSTITUTE('Special Help Table'!$A1070,";","")))=0,LEN('Special Help Table'!$A1070)-LEN(SUBSTITUTE('Special Help Table'!$A1070,",",""))=1,LEN('Special Help Table'!$A1070)-LEN(SUBSTITUTE('Special Help Table'!$A1070,"and ",""))=0),MID('Special Help Table'!$A1070&amp;" "&amp;'Special Help Table'!$A1070,SEARCH(", ",'Special Help Table'!$A1070)+1,LEN('Special Help Table'!$A1070)),AND(LEN('Special Help Table'!$A1070)-(LEN(SUBSTITUTE('Special Help Table'!$A1070,";","")))=1,LEN('Special Help Table'!$A1070)-LEN(SUBSTITUTE('Special Help Table'!$A1070,"and ",""))=0),MID('Special Help Table'!$A1070,SEARCH(",",'Special Help Table'!$A1070)+1,(SEARCH(";",'Special Help Table'!$A1070)-1)-SEARCH(",",'Special Help Table'!$A1070))&amp;" "&amp;LEFT('Special Help Table'!$A1070,SEARCH(",",'Special Help Table'!$A1070)-1)&amp;";"&amp;RIGHT('Special Help Table'!$A1070,LEN('Special Help Table'!$A1070)-SEARCH(",",'Special Help Table'!$A1070,SEARCH(";",'Special Help Table'!$A1070)))&amp;" "&amp;MID('Special Help Table'!$A1070,SEARCH("; ",'Special Help Table'!$A1070)+2,SEARCH(",",'Special Help Table'!$A1070,SEARCH(";",'Special Help Table'!$A1070))-SEARCH(";",'Special Help Table'!$A1070)-2),AND(LEN('Special Help Table'!$A1070)-LEN(SUBSTITUTE('Special Help Table'!$A1070,"and ",""))=0,LEN('Special Help Table'!$A1070)-LEN(SUBSTITUTE('Special Help Table'!$A1070,";",""))=0),'Special Help Table'!$A1070,AND(LEN('Special Help Table'!$A1070)-LEN(SUBSTITUTE('Special Help Table'!$A1070,",","")=1),LEN('Special Help Table'!$A1070)-LEN(SUBSTITUTE('Special Help Table'!$A1070," ","")=20),LEN('Special Help Table'!$A1070)-LEN(SUBSTITUTE('Special Help Table'!$A1070," and",""))=0,LEN('Special Help Table'!$A1070)-LEN(SUBSTITUTE('Special Help Table'!$A1070,",","",FIND(" ",'Special Help Table'!$A1070)+1))=0),RIGHT('Special Help Table'!$A1070,LEN('Special Help Table'!$A1070)-FIND(", ",'Special Help Table'!$A1070))&amp;" "&amp;LEFT('Special Help Table'!$A1070,FIND(",",'Special Help Table'!$A1070)-1),AND(LEN('Special Help Table'!$A1070)-LEN(SUBSTITUTE('Special Help Table'!$A1070,"editor",""))=6,LEN('Special Help Table'!$A1070)-LEN(SUBSTITUTE('Special Help Table'!$A1070,"(",""))=0,LEN('Special Help Table'!$A1070)-LEN(SUBSTITUTE('Special Help Table'!$A1070,"and",""))=3,LEN('Special Help Table'!$A1070)-LEN(SUBSTITUTE('Special Help Table'!$A1070,",",""))=1,LEN('Special Help Table'!$A1070)-LEN(SUBSTITUTE('Special Help Table'!$A1070," ",""))=3),'Special Help Table'!$A1070)</f>
        <v>0</v>
      </c>
      <c r="C1070" s="2"/>
      <c r="D1070" s="2"/>
      <c r="E1070" s="2"/>
      <c r="F1070" s="2"/>
      <c r="G1070" s="2"/>
      <c r="H1070" s="2"/>
      <c r="I1070" s="2"/>
      <c r="J1070" s="2"/>
      <c r="K1070" s="3"/>
      <c r="L1070" s="2"/>
      <c r="M1070" s="2"/>
      <c r="N1070" s="2" t="s">
        <v>1767</v>
      </c>
    </row>
    <row r="1071" spans="1:14" ht="15.75" customHeight="1" x14ac:dyDescent="0.35">
      <c r="A1071" s="2"/>
      <c r="B1071" s="2" cm="1">
        <f t="array" ref="B1071">_xlfn.IFS(AND(LEN('Special Help Table'!$A1071)-(LEN(SUBSTITUTE('Special Help Table'!$A1071,";","")))=0,LEN('Special Help Table'!$A1071)-LEN(SUBSTITUTE('Special Help Table'!$A1071,",",""))=1,LEN('Special Help Table'!$A1071)-LEN(SUBSTITUTE('Special Help Table'!$A1071,"and ",""))=0),MID('Special Help Table'!$A1071&amp;" "&amp;'Special Help Table'!$A1071,SEARCH(", ",'Special Help Table'!$A1071)+1,LEN('Special Help Table'!$A1071)),AND(LEN('Special Help Table'!$A1071)-(LEN(SUBSTITUTE('Special Help Table'!$A1071,";","")))=1,LEN('Special Help Table'!$A1071)-LEN(SUBSTITUTE('Special Help Table'!$A1071,"and ",""))=0),MID('Special Help Table'!$A1071,SEARCH(",",'Special Help Table'!$A1071)+1,(SEARCH(";",'Special Help Table'!$A1071)-1)-SEARCH(",",'Special Help Table'!$A1071))&amp;" "&amp;LEFT('Special Help Table'!$A1071,SEARCH(",",'Special Help Table'!$A1071)-1)&amp;";"&amp;RIGHT('Special Help Table'!$A1071,LEN('Special Help Table'!$A1071)-SEARCH(",",'Special Help Table'!$A1071,SEARCH(";",'Special Help Table'!$A1071)))&amp;" "&amp;MID('Special Help Table'!$A1071,SEARCH("; ",'Special Help Table'!$A1071)+2,SEARCH(",",'Special Help Table'!$A1071,SEARCH(";",'Special Help Table'!$A1071))-SEARCH(";",'Special Help Table'!$A1071)-2),AND(LEN('Special Help Table'!$A1071)-LEN(SUBSTITUTE('Special Help Table'!$A1071,"and ",""))=0,LEN('Special Help Table'!$A1071)-LEN(SUBSTITUTE('Special Help Table'!$A1071,";",""))=0),'Special Help Table'!$A1071,AND(LEN('Special Help Table'!$A1071)-LEN(SUBSTITUTE('Special Help Table'!$A1071,",","")=1),LEN('Special Help Table'!$A1071)-LEN(SUBSTITUTE('Special Help Table'!$A1071," ","")=20),LEN('Special Help Table'!$A1071)-LEN(SUBSTITUTE('Special Help Table'!$A1071," and",""))=0,LEN('Special Help Table'!$A1071)-LEN(SUBSTITUTE('Special Help Table'!$A1071,",","",FIND(" ",'Special Help Table'!$A1071)+1))=0),RIGHT('Special Help Table'!$A1071,LEN('Special Help Table'!$A1071)-FIND(", ",'Special Help Table'!$A1071))&amp;" "&amp;LEFT('Special Help Table'!$A1071,FIND(",",'Special Help Table'!$A1071)-1),AND(LEN('Special Help Table'!$A1071)-LEN(SUBSTITUTE('Special Help Table'!$A1071,"editor",""))=6,LEN('Special Help Table'!$A1071)-LEN(SUBSTITUTE('Special Help Table'!$A1071,"(",""))=0,LEN('Special Help Table'!$A1071)-LEN(SUBSTITUTE('Special Help Table'!$A1071,"and",""))=3,LEN('Special Help Table'!$A1071)-LEN(SUBSTITUTE('Special Help Table'!$A1071,",",""))=1,LEN('Special Help Table'!$A1071)-LEN(SUBSTITUTE('Special Help Table'!$A1071," ",""))=3),'Special Help Table'!$A1071)</f>
        <v>0</v>
      </c>
      <c r="C1071" s="2"/>
      <c r="D1071" s="2"/>
      <c r="E1071" s="2"/>
      <c r="F1071" s="2"/>
      <c r="G1071" s="2"/>
      <c r="H1071" s="2"/>
      <c r="I1071" s="2"/>
      <c r="J1071" s="2"/>
      <c r="K1071" s="3"/>
      <c r="L1071" s="2"/>
      <c r="M1071" s="2"/>
      <c r="N1071" s="2" t="s">
        <v>1767</v>
      </c>
    </row>
    <row r="1072" spans="1:14" ht="15.75" customHeight="1" x14ac:dyDescent="0.35">
      <c r="A1072" s="2"/>
      <c r="B1072" s="2" cm="1">
        <f t="array" ref="B1072">_xlfn.IFS(AND(LEN('Special Help Table'!$A1072)-(LEN(SUBSTITUTE('Special Help Table'!$A1072,";","")))=0,LEN('Special Help Table'!$A1072)-LEN(SUBSTITUTE('Special Help Table'!$A1072,",",""))=1,LEN('Special Help Table'!$A1072)-LEN(SUBSTITUTE('Special Help Table'!$A1072,"and ",""))=0),MID('Special Help Table'!$A1072&amp;" "&amp;'Special Help Table'!$A1072,SEARCH(", ",'Special Help Table'!$A1072)+1,LEN('Special Help Table'!$A1072)),AND(LEN('Special Help Table'!$A1072)-(LEN(SUBSTITUTE('Special Help Table'!$A1072,";","")))=1,LEN('Special Help Table'!$A1072)-LEN(SUBSTITUTE('Special Help Table'!$A1072,"and ",""))=0),MID('Special Help Table'!$A1072,SEARCH(",",'Special Help Table'!$A1072)+1,(SEARCH(";",'Special Help Table'!$A1072)-1)-SEARCH(",",'Special Help Table'!$A1072))&amp;" "&amp;LEFT('Special Help Table'!$A1072,SEARCH(",",'Special Help Table'!$A1072)-1)&amp;";"&amp;RIGHT('Special Help Table'!$A1072,LEN('Special Help Table'!$A1072)-SEARCH(",",'Special Help Table'!$A1072,SEARCH(";",'Special Help Table'!$A1072)))&amp;" "&amp;MID('Special Help Table'!$A1072,SEARCH("; ",'Special Help Table'!$A1072)+2,SEARCH(",",'Special Help Table'!$A1072,SEARCH(";",'Special Help Table'!$A1072))-SEARCH(";",'Special Help Table'!$A1072)-2),AND(LEN('Special Help Table'!$A1072)-LEN(SUBSTITUTE('Special Help Table'!$A1072,"and ",""))=0,LEN('Special Help Table'!$A1072)-LEN(SUBSTITUTE('Special Help Table'!$A1072,";",""))=0),'Special Help Table'!$A1072,AND(LEN('Special Help Table'!$A1072)-LEN(SUBSTITUTE('Special Help Table'!$A1072,",","")=1),LEN('Special Help Table'!$A1072)-LEN(SUBSTITUTE('Special Help Table'!$A1072," ","")=20),LEN('Special Help Table'!$A1072)-LEN(SUBSTITUTE('Special Help Table'!$A1072," and",""))=0,LEN('Special Help Table'!$A1072)-LEN(SUBSTITUTE('Special Help Table'!$A1072,",","",FIND(" ",'Special Help Table'!$A1072)+1))=0),RIGHT('Special Help Table'!$A1072,LEN('Special Help Table'!$A1072)-FIND(", ",'Special Help Table'!$A1072))&amp;" "&amp;LEFT('Special Help Table'!$A1072,FIND(",",'Special Help Table'!$A1072)-1),AND(LEN('Special Help Table'!$A1072)-LEN(SUBSTITUTE('Special Help Table'!$A1072,"editor",""))=6,LEN('Special Help Table'!$A1072)-LEN(SUBSTITUTE('Special Help Table'!$A1072,"(",""))=0,LEN('Special Help Table'!$A1072)-LEN(SUBSTITUTE('Special Help Table'!$A1072,"and",""))=3,LEN('Special Help Table'!$A1072)-LEN(SUBSTITUTE('Special Help Table'!$A1072,",",""))=1,LEN('Special Help Table'!$A1072)-LEN(SUBSTITUTE('Special Help Table'!$A1072," ",""))=3),'Special Help Table'!$A1072)</f>
        <v>0</v>
      </c>
      <c r="C1072" s="2"/>
      <c r="D1072" s="2"/>
      <c r="E1072" s="2"/>
      <c r="F1072" s="2"/>
      <c r="G1072" s="2"/>
      <c r="H1072" s="2"/>
      <c r="I1072" s="2"/>
      <c r="J1072" s="2"/>
      <c r="K1072" s="3"/>
      <c r="L1072" s="2"/>
      <c r="M1072" s="2"/>
      <c r="N1072" s="2" t="s">
        <v>1767</v>
      </c>
    </row>
    <row r="1073" spans="1:14" ht="15.75" customHeight="1" x14ac:dyDescent="0.35">
      <c r="A1073" s="2"/>
      <c r="B1073" s="2" cm="1">
        <f t="array" ref="B1073">_xlfn.IFS(AND(LEN('Special Help Table'!$A1073)-(LEN(SUBSTITUTE('Special Help Table'!$A1073,";","")))=0,LEN('Special Help Table'!$A1073)-LEN(SUBSTITUTE('Special Help Table'!$A1073,",",""))=1,LEN('Special Help Table'!$A1073)-LEN(SUBSTITUTE('Special Help Table'!$A1073,"and ",""))=0),MID('Special Help Table'!$A1073&amp;" "&amp;'Special Help Table'!$A1073,SEARCH(", ",'Special Help Table'!$A1073)+1,LEN('Special Help Table'!$A1073)),AND(LEN('Special Help Table'!$A1073)-(LEN(SUBSTITUTE('Special Help Table'!$A1073,";","")))=1,LEN('Special Help Table'!$A1073)-LEN(SUBSTITUTE('Special Help Table'!$A1073,"and ",""))=0),MID('Special Help Table'!$A1073,SEARCH(",",'Special Help Table'!$A1073)+1,(SEARCH(";",'Special Help Table'!$A1073)-1)-SEARCH(",",'Special Help Table'!$A1073))&amp;" "&amp;LEFT('Special Help Table'!$A1073,SEARCH(",",'Special Help Table'!$A1073)-1)&amp;";"&amp;RIGHT('Special Help Table'!$A1073,LEN('Special Help Table'!$A1073)-SEARCH(",",'Special Help Table'!$A1073,SEARCH(";",'Special Help Table'!$A1073)))&amp;" "&amp;MID('Special Help Table'!$A1073,SEARCH("; ",'Special Help Table'!$A1073)+2,SEARCH(",",'Special Help Table'!$A1073,SEARCH(";",'Special Help Table'!$A1073))-SEARCH(";",'Special Help Table'!$A1073)-2),AND(LEN('Special Help Table'!$A1073)-LEN(SUBSTITUTE('Special Help Table'!$A1073,"and ",""))=0,LEN('Special Help Table'!$A1073)-LEN(SUBSTITUTE('Special Help Table'!$A1073,";",""))=0),'Special Help Table'!$A1073,AND(LEN('Special Help Table'!$A1073)-LEN(SUBSTITUTE('Special Help Table'!$A1073,",","")=1),LEN('Special Help Table'!$A1073)-LEN(SUBSTITUTE('Special Help Table'!$A1073," ","")=20),LEN('Special Help Table'!$A1073)-LEN(SUBSTITUTE('Special Help Table'!$A1073," and",""))=0,LEN('Special Help Table'!$A1073)-LEN(SUBSTITUTE('Special Help Table'!$A1073,",","",FIND(" ",'Special Help Table'!$A1073)+1))=0),RIGHT('Special Help Table'!$A1073,LEN('Special Help Table'!$A1073)-FIND(", ",'Special Help Table'!$A1073))&amp;" "&amp;LEFT('Special Help Table'!$A1073,FIND(",",'Special Help Table'!$A1073)-1),AND(LEN('Special Help Table'!$A1073)-LEN(SUBSTITUTE('Special Help Table'!$A1073,"editor",""))=6,LEN('Special Help Table'!$A1073)-LEN(SUBSTITUTE('Special Help Table'!$A1073,"(",""))=0,LEN('Special Help Table'!$A1073)-LEN(SUBSTITUTE('Special Help Table'!$A1073,"and",""))=3,LEN('Special Help Table'!$A1073)-LEN(SUBSTITUTE('Special Help Table'!$A1073,",",""))=1,LEN('Special Help Table'!$A1073)-LEN(SUBSTITUTE('Special Help Table'!$A1073," ",""))=3),'Special Help Table'!$A1073)</f>
        <v>0</v>
      </c>
      <c r="C1073" s="2"/>
      <c r="D1073" s="2"/>
      <c r="E1073" s="2"/>
      <c r="F1073" s="2"/>
      <c r="G1073" s="2"/>
      <c r="H1073" s="2"/>
      <c r="I1073" s="2"/>
      <c r="J1073" s="2"/>
      <c r="K1073" s="3"/>
      <c r="L1073" s="2"/>
      <c r="M1073" s="2"/>
      <c r="N1073" s="2" t="s">
        <v>1767</v>
      </c>
    </row>
    <row r="1074" spans="1:14" ht="15.75" customHeight="1" x14ac:dyDescent="0.35">
      <c r="A1074" s="2"/>
      <c r="B1074" s="2" cm="1">
        <f t="array" ref="B1074">_xlfn.IFS(AND(LEN('Special Help Table'!$A1074)-(LEN(SUBSTITUTE('Special Help Table'!$A1074,";","")))=0,LEN('Special Help Table'!$A1074)-LEN(SUBSTITUTE('Special Help Table'!$A1074,",",""))=1,LEN('Special Help Table'!$A1074)-LEN(SUBSTITUTE('Special Help Table'!$A1074,"and ",""))=0),MID('Special Help Table'!$A1074&amp;" "&amp;'Special Help Table'!$A1074,SEARCH(", ",'Special Help Table'!$A1074)+1,LEN('Special Help Table'!$A1074)),AND(LEN('Special Help Table'!$A1074)-(LEN(SUBSTITUTE('Special Help Table'!$A1074,";","")))=1,LEN('Special Help Table'!$A1074)-LEN(SUBSTITUTE('Special Help Table'!$A1074,"and ",""))=0),MID('Special Help Table'!$A1074,SEARCH(",",'Special Help Table'!$A1074)+1,(SEARCH(";",'Special Help Table'!$A1074)-1)-SEARCH(",",'Special Help Table'!$A1074))&amp;" "&amp;LEFT('Special Help Table'!$A1074,SEARCH(",",'Special Help Table'!$A1074)-1)&amp;";"&amp;RIGHT('Special Help Table'!$A1074,LEN('Special Help Table'!$A1074)-SEARCH(",",'Special Help Table'!$A1074,SEARCH(";",'Special Help Table'!$A1074)))&amp;" "&amp;MID('Special Help Table'!$A1074,SEARCH("; ",'Special Help Table'!$A1074)+2,SEARCH(",",'Special Help Table'!$A1074,SEARCH(";",'Special Help Table'!$A1074))-SEARCH(";",'Special Help Table'!$A1074)-2),AND(LEN('Special Help Table'!$A1074)-LEN(SUBSTITUTE('Special Help Table'!$A1074,"and ",""))=0,LEN('Special Help Table'!$A1074)-LEN(SUBSTITUTE('Special Help Table'!$A1074,";",""))=0),'Special Help Table'!$A1074,AND(LEN('Special Help Table'!$A1074)-LEN(SUBSTITUTE('Special Help Table'!$A1074,",","")=1),LEN('Special Help Table'!$A1074)-LEN(SUBSTITUTE('Special Help Table'!$A1074," ","")=20),LEN('Special Help Table'!$A1074)-LEN(SUBSTITUTE('Special Help Table'!$A1074," and",""))=0,LEN('Special Help Table'!$A1074)-LEN(SUBSTITUTE('Special Help Table'!$A1074,",","",FIND(" ",'Special Help Table'!$A1074)+1))=0),RIGHT('Special Help Table'!$A1074,LEN('Special Help Table'!$A1074)-FIND(", ",'Special Help Table'!$A1074))&amp;" "&amp;LEFT('Special Help Table'!$A1074,FIND(",",'Special Help Table'!$A1074)-1),AND(LEN('Special Help Table'!$A1074)-LEN(SUBSTITUTE('Special Help Table'!$A1074,"editor",""))=6,LEN('Special Help Table'!$A1074)-LEN(SUBSTITUTE('Special Help Table'!$A1074,"(",""))=0,LEN('Special Help Table'!$A1074)-LEN(SUBSTITUTE('Special Help Table'!$A1074,"and",""))=3,LEN('Special Help Table'!$A1074)-LEN(SUBSTITUTE('Special Help Table'!$A1074,",",""))=1,LEN('Special Help Table'!$A1074)-LEN(SUBSTITUTE('Special Help Table'!$A1074," ",""))=3),'Special Help Table'!$A1074)</f>
        <v>0</v>
      </c>
      <c r="C1074" s="2"/>
      <c r="D1074" s="2"/>
      <c r="E1074" s="2"/>
      <c r="F1074" s="2"/>
      <c r="G1074" s="2"/>
      <c r="H1074" s="2"/>
      <c r="I1074" s="2"/>
      <c r="J1074" s="2"/>
      <c r="K1074" s="3"/>
      <c r="L1074" s="2"/>
      <c r="M1074" s="2"/>
      <c r="N1074" s="2" t="s">
        <v>1767</v>
      </c>
    </row>
    <row r="1075" spans="1:14" ht="15.75" customHeight="1" x14ac:dyDescent="0.35">
      <c r="A1075" s="2"/>
      <c r="B1075" s="2" cm="1">
        <f t="array" ref="B1075">_xlfn.IFS(AND(LEN('Special Help Table'!$A1075)-(LEN(SUBSTITUTE('Special Help Table'!$A1075,";","")))=0,LEN('Special Help Table'!$A1075)-LEN(SUBSTITUTE('Special Help Table'!$A1075,",",""))=1,LEN('Special Help Table'!$A1075)-LEN(SUBSTITUTE('Special Help Table'!$A1075,"and ",""))=0),MID('Special Help Table'!$A1075&amp;" "&amp;'Special Help Table'!$A1075,SEARCH(", ",'Special Help Table'!$A1075)+1,LEN('Special Help Table'!$A1075)),AND(LEN('Special Help Table'!$A1075)-(LEN(SUBSTITUTE('Special Help Table'!$A1075,";","")))=1,LEN('Special Help Table'!$A1075)-LEN(SUBSTITUTE('Special Help Table'!$A1075,"and ",""))=0),MID('Special Help Table'!$A1075,SEARCH(",",'Special Help Table'!$A1075)+1,(SEARCH(";",'Special Help Table'!$A1075)-1)-SEARCH(",",'Special Help Table'!$A1075))&amp;" "&amp;LEFT('Special Help Table'!$A1075,SEARCH(",",'Special Help Table'!$A1075)-1)&amp;";"&amp;RIGHT('Special Help Table'!$A1075,LEN('Special Help Table'!$A1075)-SEARCH(",",'Special Help Table'!$A1075,SEARCH(";",'Special Help Table'!$A1075)))&amp;" "&amp;MID('Special Help Table'!$A1075,SEARCH("; ",'Special Help Table'!$A1075)+2,SEARCH(",",'Special Help Table'!$A1075,SEARCH(";",'Special Help Table'!$A1075))-SEARCH(";",'Special Help Table'!$A1075)-2),AND(LEN('Special Help Table'!$A1075)-LEN(SUBSTITUTE('Special Help Table'!$A1075,"and ",""))=0,LEN('Special Help Table'!$A1075)-LEN(SUBSTITUTE('Special Help Table'!$A1075,";",""))=0),'Special Help Table'!$A1075,AND(LEN('Special Help Table'!$A1075)-LEN(SUBSTITUTE('Special Help Table'!$A1075,",","")=1),LEN('Special Help Table'!$A1075)-LEN(SUBSTITUTE('Special Help Table'!$A1075," ","")=20),LEN('Special Help Table'!$A1075)-LEN(SUBSTITUTE('Special Help Table'!$A1075," and",""))=0,LEN('Special Help Table'!$A1075)-LEN(SUBSTITUTE('Special Help Table'!$A1075,",","",FIND(" ",'Special Help Table'!$A1075)+1))=0),RIGHT('Special Help Table'!$A1075,LEN('Special Help Table'!$A1075)-FIND(", ",'Special Help Table'!$A1075))&amp;" "&amp;LEFT('Special Help Table'!$A1075,FIND(",",'Special Help Table'!$A1075)-1),AND(LEN('Special Help Table'!$A1075)-LEN(SUBSTITUTE('Special Help Table'!$A1075,"editor",""))=6,LEN('Special Help Table'!$A1075)-LEN(SUBSTITUTE('Special Help Table'!$A1075,"(",""))=0,LEN('Special Help Table'!$A1075)-LEN(SUBSTITUTE('Special Help Table'!$A1075,"and",""))=3,LEN('Special Help Table'!$A1075)-LEN(SUBSTITUTE('Special Help Table'!$A1075,",",""))=1,LEN('Special Help Table'!$A1075)-LEN(SUBSTITUTE('Special Help Table'!$A1075," ",""))=3),'Special Help Table'!$A1075)</f>
        <v>0</v>
      </c>
      <c r="C1075" s="2"/>
      <c r="D1075" s="2"/>
      <c r="E1075" s="2"/>
      <c r="F1075" s="2"/>
      <c r="G1075" s="2"/>
      <c r="H1075" s="2"/>
      <c r="I1075" s="2"/>
      <c r="J1075" s="2"/>
      <c r="K1075" s="3"/>
      <c r="L1075" s="2"/>
      <c r="M1075" s="2"/>
      <c r="N1075" s="2" t="s">
        <v>1767</v>
      </c>
    </row>
    <row r="1076" spans="1:14" ht="15.75" customHeight="1" x14ac:dyDescent="0.35">
      <c r="A1076" s="2"/>
      <c r="B1076" s="2" cm="1">
        <f t="array" ref="B1076">_xlfn.IFS(AND(LEN('Special Help Table'!$A1076)-(LEN(SUBSTITUTE('Special Help Table'!$A1076,";","")))=0,LEN('Special Help Table'!$A1076)-LEN(SUBSTITUTE('Special Help Table'!$A1076,",",""))=1,LEN('Special Help Table'!$A1076)-LEN(SUBSTITUTE('Special Help Table'!$A1076,"and ",""))=0),MID('Special Help Table'!$A1076&amp;" "&amp;'Special Help Table'!$A1076,SEARCH(", ",'Special Help Table'!$A1076)+1,LEN('Special Help Table'!$A1076)),AND(LEN('Special Help Table'!$A1076)-(LEN(SUBSTITUTE('Special Help Table'!$A1076,";","")))=1,LEN('Special Help Table'!$A1076)-LEN(SUBSTITUTE('Special Help Table'!$A1076,"and ",""))=0),MID('Special Help Table'!$A1076,SEARCH(",",'Special Help Table'!$A1076)+1,(SEARCH(";",'Special Help Table'!$A1076)-1)-SEARCH(",",'Special Help Table'!$A1076))&amp;" "&amp;LEFT('Special Help Table'!$A1076,SEARCH(",",'Special Help Table'!$A1076)-1)&amp;";"&amp;RIGHT('Special Help Table'!$A1076,LEN('Special Help Table'!$A1076)-SEARCH(",",'Special Help Table'!$A1076,SEARCH(";",'Special Help Table'!$A1076)))&amp;" "&amp;MID('Special Help Table'!$A1076,SEARCH("; ",'Special Help Table'!$A1076)+2,SEARCH(",",'Special Help Table'!$A1076,SEARCH(";",'Special Help Table'!$A1076))-SEARCH(";",'Special Help Table'!$A1076)-2),AND(LEN('Special Help Table'!$A1076)-LEN(SUBSTITUTE('Special Help Table'!$A1076,"and ",""))=0,LEN('Special Help Table'!$A1076)-LEN(SUBSTITUTE('Special Help Table'!$A1076,";",""))=0),'Special Help Table'!$A1076,AND(LEN('Special Help Table'!$A1076)-LEN(SUBSTITUTE('Special Help Table'!$A1076,",","")=1),LEN('Special Help Table'!$A1076)-LEN(SUBSTITUTE('Special Help Table'!$A1076," ","")=20),LEN('Special Help Table'!$A1076)-LEN(SUBSTITUTE('Special Help Table'!$A1076," and",""))=0,LEN('Special Help Table'!$A1076)-LEN(SUBSTITUTE('Special Help Table'!$A1076,",","",FIND(" ",'Special Help Table'!$A1076)+1))=0),RIGHT('Special Help Table'!$A1076,LEN('Special Help Table'!$A1076)-FIND(", ",'Special Help Table'!$A1076))&amp;" "&amp;LEFT('Special Help Table'!$A1076,FIND(",",'Special Help Table'!$A1076)-1),AND(LEN('Special Help Table'!$A1076)-LEN(SUBSTITUTE('Special Help Table'!$A1076,"editor",""))=6,LEN('Special Help Table'!$A1076)-LEN(SUBSTITUTE('Special Help Table'!$A1076,"(",""))=0,LEN('Special Help Table'!$A1076)-LEN(SUBSTITUTE('Special Help Table'!$A1076,"and",""))=3,LEN('Special Help Table'!$A1076)-LEN(SUBSTITUTE('Special Help Table'!$A1076,",",""))=1,LEN('Special Help Table'!$A1076)-LEN(SUBSTITUTE('Special Help Table'!$A1076," ",""))=3),'Special Help Table'!$A1076)</f>
        <v>0</v>
      </c>
      <c r="C1076" s="2"/>
      <c r="D1076" s="2"/>
      <c r="E1076" s="2"/>
      <c r="F1076" s="2"/>
      <c r="G1076" s="2"/>
      <c r="H1076" s="2"/>
      <c r="I1076" s="2"/>
      <c r="J1076" s="2"/>
      <c r="K1076" s="3"/>
      <c r="L1076" s="2"/>
      <c r="M1076" s="2"/>
      <c r="N1076" s="2" t="s">
        <v>1767</v>
      </c>
    </row>
    <row r="1077" spans="1:14" ht="15.75" customHeight="1" x14ac:dyDescent="0.35">
      <c r="A1077" s="2"/>
      <c r="B1077" s="2" cm="1">
        <f t="array" ref="B1077">_xlfn.IFS(AND(LEN('Special Help Table'!$A1077)-(LEN(SUBSTITUTE('Special Help Table'!$A1077,";","")))=0,LEN('Special Help Table'!$A1077)-LEN(SUBSTITUTE('Special Help Table'!$A1077,",",""))=1,LEN('Special Help Table'!$A1077)-LEN(SUBSTITUTE('Special Help Table'!$A1077,"and ",""))=0),MID('Special Help Table'!$A1077&amp;" "&amp;'Special Help Table'!$A1077,SEARCH(", ",'Special Help Table'!$A1077)+1,LEN('Special Help Table'!$A1077)),AND(LEN('Special Help Table'!$A1077)-(LEN(SUBSTITUTE('Special Help Table'!$A1077,";","")))=1,LEN('Special Help Table'!$A1077)-LEN(SUBSTITUTE('Special Help Table'!$A1077,"and ",""))=0),MID('Special Help Table'!$A1077,SEARCH(",",'Special Help Table'!$A1077)+1,(SEARCH(";",'Special Help Table'!$A1077)-1)-SEARCH(",",'Special Help Table'!$A1077))&amp;" "&amp;LEFT('Special Help Table'!$A1077,SEARCH(",",'Special Help Table'!$A1077)-1)&amp;";"&amp;RIGHT('Special Help Table'!$A1077,LEN('Special Help Table'!$A1077)-SEARCH(",",'Special Help Table'!$A1077,SEARCH(";",'Special Help Table'!$A1077)))&amp;" "&amp;MID('Special Help Table'!$A1077,SEARCH("; ",'Special Help Table'!$A1077)+2,SEARCH(",",'Special Help Table'!$A1077,SEARCH(";",'Special Help Table'!$A1077))-SEARCH(";",'Special Help Table'!$A1077)-2),AND(LEN('Special Help Table'!$A1077)-LEN(SUBSTITUTE('Special Help Table'!$A1077,"and ",""))=0,LEN('Special Help Table'!$A1077)-LEN(SUBSTITUTE('Special Help Table'!$A1077,";",""))=0),'Special Help Table'!$A1077,AND(LEN('Special Help Table'!$A1077)-LEN(SUBSTITUTE('Special Help Table'!$A1077,",","")=1),LEN('Special Help Table'!$A1077)-LEN(SUBSTITUTE('Special Help Table'!$A1077," ","")=20),LEN('Special Help Table'!$A1077)-LEN(SUBSTITUTE('Special Help Table'!$A1077," and",""))=0,LEN('Special Help Table'!$A1077)-LEN(SUBSTITUTE('Special Help Table'!$A1077,",","",FIND(" ",'Special Help Table'!$A1077)+1))=0),RIGHT('Special Help Table'!$A1077,LEN('Special Help Table'!$A1077)-FIND(", ",'Special Help Table'!$A1077))&amp;" "&amp;LEFT('Special Help Table'!$A1077,FIND(",",'Special Help Table'!$A1077)-1),AND(LEN('Special Help Table'!$A1077)-LEN(SUBSTITUTE('Special Help Table'!$A1077,"editor",""))=6,LEN('Special Help Table'!$A1077)-LEN(SUBSTITUTE('Special Help Table'!$A1077,"(",""))=0,LEN('Special Help Table'!$A1077)-LEN(SUBSTITUTE('Special Help Table'!$A1077,"and",""))=3,LEN('Special Help Table'!$A1077)-LEN(SUBSTITUTE('Special Help Table'!$A1077,",",""))=1,LEN('Special Help Table'!$A1077)-LEN(SUBSTITUTE('Special Help Table'!$A1077," ",""))=3),'Special Help Table'!$A1077)</f>
        <v>0</v>
      </c>
      <c r="C1077" s="2"/>
      <c r="D1077" s="2"/>
      <c r="E1077" s="2"/>
      <c r="F1077" s="2"/>
      <c r="G1077" s="2"/>
      <c r="H1077" s="2"/>
      <c r="I1077" s="2"/>
      <c r="J1077" s="2"/>
      <c r="K1077" s="3"/>
      <c r="L1077" s="2"/>
      <c r="M1077" s="2"/>
      <c r="N1077" s="2" t="s">
        <v>1767</v>
      </c>
    </row>
    <row r="1078" spans="1:14" ht="15.75" customHeight="1" x14ac:dyDescent="0.35">
      <c r="A1078" s="2"/>
      <c r="B1078" s="2" cm="1">
        <f t="array" ref="B1078">_xlfn.IFS(AND(LEN('Special Help Table'!$A1078)-(LEN(SUBSTITUTE('Special Help Table'!$A1078,";","")))=0,LEN('Special Help Table'!$A1078)-LEN(SUBSTITUTE('Special Help Table'!$A1078,",",""))=1,LEN('Special Help Table'!$A1078)-LEN(SUBSTITUTE('Special Help Table'!$A1078,"and ",""))=0),MID('Special Help Table'!$A1078&amp;" "&amp;'Special Help Table'!$A1078,SEARCH(", ",'Special Help Table'!$A1078)+1,LEN('Special Help Table'!$A1078)),AND(LEN('Special Help Table'!$A1078)-(LEN(SUBSTITUTE('Special Help Table'!$A1078,";","")))=1,LEN('Special Help Table'!$A1078)-LEN(SUBSTITUTE('Special Help Table'!$A1078,"and ",""))=0),MID('Special Help Table'!$A1078,SEARCH(",",'Special Help Table'!$A1078)+1,(SEARCH(";",'Special Help Table'!$A1078)-1)-SEARCH(",",'Special Help Table'!$A1078))&amp;" "&amp;LEFT('Special Help Table'!$A1078,SEARCH(",",'Special Help Table'!$A1078)-1)&amp;";"&amp;RIGHT('Special Help Table'!$A1078,LEN('Special Help Table'!$A1078)-SEARCH(",",'Special Help Table'!$A1078,SEARCH(";",'Special Help Table'!$A1078)))&amp;" "&amp;MID('Special Help Table'!$A1078,SEARCH("; ",'Special Help Table'!$A1078)+2,SEARCH(",",'Special Help Table'!$A1078,SEARCH(";",'Special Help Table'!$A1078))-SEARCH(";",'Special Help Table'!$A1078)-2),AND(LEN('Special Help Table'!$A1078)-LEN(SUBSTITUTE('Special Help Table'!$A1078,"and ",""))=0,LEN('Special Help Table'!$A1078)-LEN(SUBSTITUTE('Special Help Table'!$A1078,";",""))=0),'Special Help Table'!$A1078,AND(LEN('Special Help Table'!$A1078)-LEN(SUBSTITUTE('Special Help Table'!$A1078,",","")=1),LEN('Special Help Table'!$A1078)-LEN(SUBSTITUTE('Special Help Table'!$A1078," ","")=20),LEN('Special Help Table'!$A1078)-LEN(SUBSTITUTE('Special Help Table'!$A1078," and",""))=0,LEN('Special Help Table'!$A1078)-LEN(SUBSTITUTE('Special Help Table'!$A1078,",","",FIND(" ",'Special Help Table'!$A1078)+1))=0),RIGHT('Special Help Table'!$A1078,LEN('Special Help Table'!$A1078)-FIND(", ",'Special Help Table'!$A1078))&amp;" "&amp;LEFT('Special Help Table'!$A1078,FIND(",",'Special Help Table'!$A1078)-1),AND(LEN('Special Help Table'!$A1078)-LEN(SUBSTITUTE('Special Help Table'!$A1078,"editor",""))=6,LEN('Special Help Table'!$A1078)-LEN(SUBSTITUTE('Special Help Table'!$A1078,"(",""))=0,LEN('Special Help Table'!$A1078)-LEN(SUBSTITUTE('Special Help Table'!$A1078,"and",""))=3,LEN('Special Help Table'!$A1078)-LEN(SUBSTITUTE('Special Help Table'!$A1078,",",""))=1,LEN('Special Help Table'!$A1078)-LEN(SUBSTITUTE('Special Help Table'!$A1078," ",""))=3),'Special Help Table'!$A1078)</f>
        <v>0</v>
      </c>
      <c r="C1078" s="2"/>
      <c r="D1078" s="2"/>
      <c r="E1078" s="2"/>
      <c r="F1078" s="2"/>
      <c r="G1078" s="2"/>
      <c r="H1078" s="2"/>
      <c r="I1078" s="2"/>
      <c r="J1078" s="2"/>
      <c r="K1078" s="3"/>
      <c r="L1078" s="2"/>
      <c r="M1078" s="2"/>
      <c r="N1078" s="2" t="s">
        <v>1767</v>
      </c>
    </row>
    <row r="1079" spans="1:14" ht="15.75" customHeight="1" x14ac:dyDescent="0.35">
      <c r="A1079" s="2"/>
      <c r="B1079" s="2" cm="1">
        <f t="array" ref="B1079">_xlfn.IFS(AND(LEN('Special Help Table'!$A1079)-(LEN(SUBSTITUTE('Special Help Table'!$A1079,";","")))=0,LEN('Special Help Table'!$A1079)-LEN(SUBSTITUTE('Special Help Table'!$A1079,",",""))=1,LEN('Special Help Table'!$A1079)-LEN(SUBSTITUTE('Special Help Table'!$A1079,"and ",""))=0),MID('Special Help Table'!$A1079&amp;" "&amp;'Special Help Table'!$A1079,SEARCH(", ",'Special Help Table'!$A1079)+1,LEN('Special Help Table'!$A1079)),AND(LEN('Special Help Table'!$A1079)-(LEN(SUBSTITUTE('Special Help Table'!$A1079,";","")))=1,LEN('Special Help Table'!$A1079)-LEN(SUBSTITUTE('Special Help Table'!$A1079,"and ",""))=0),MID('Special Help Table'!$A1079,SEARCH(",",'Special Help Table'!$A1079)+1,(SEARCH(";",'Special Help Table'!$A1079)-1)-SEARCH(",",'Special Help Table'!$A1079))&amp;" "&amp;LEFT('Special Help Table'!$A1079,SEARCH(",",'Special Help Table'!$A1079)-1)&amp;";"&amp;RIGHT('Special Help Table'!$A1079,LEN('Special Help Table'!$A1079)-SEARCH(",",'Special Help Table'!$A1079,SEARCH(";",'Special Help Table'!$A1079)))&amp;" "&amp;MID('Special Help Table'!$A1079,SEARCH("; ",'Special Help Table'!$A1079)+2,SEARCH(",",'Special Help Table'!$A1079,SEARCH(";",'Special Help Table'!$A1079))-SEARCH(";",'Special Help Table'!$A1079)-2),AND(LEN('Special Help Table'!$A1079)-LEN(SUBSTITUTE('Special Help Table'!$A1079,"and ",""))=0,LEN('Special Help Table'!$A1079)-LEN(SUBSTITUTE('Special Help Table'!$A1079,";",""))=0),'Special Help Table'!$A1079,AND(LEN('Special Help Table'!$A1079)-LEN(SUBSTITUTE('Special Help Table'!$A1079,",","")=1),LEN('Special Help Table'!$A1079)-LEN(SUBSTITUTE('Special Help Table'!$A1079," ","")=20),LEN('Special Help Table'!$A1079)-LEN(SUBSTITUTE('Special Help Table'!$A1079," and",""))=0,LEN('Special Help Table'!$A1079)-LEN(SUBSTITUTE('Special Help Table'!$A1079,",","",FIND(" ",'Special Help Table'!$A1079)+1))=0),RIGHT('Special Help Table'!$A1079,LEN('Special Help Table'!$A1079)-FIND(", ",'Special Help Table'!$A1079))&amp;" "&amp;LEFT('Special Help Table'!$A1079,FIND(",",'Special Help Table'!$A1079)-1),AND(LEN('Special Help Table'!$A1079)-LEN(SUBSTITUTE('Special Help Table'!$A1079,"editor",""))=6,LEN('Special Help Table'!$A1079)-LEN(SUBSTITUTE('Special Help Table'!$A1079,"(",""))=0,LEN('Special Help Table'!$A1079)-LEN(SUBSTITUTE('Special Help Table'!$A1079,"and",""))=3,LEN('Special Help Table'!$A1079)-LEN(SUBSTITUTE('Special Help Table'!$A1079,",",""))=1,LEN('Special Help Table'!$A1079)-LEN(SUBSTITUTE('Special Help Table'!$A1079," ",""))=3),'Special Help Table'!$A1079)</f>
        <v>0</v>
      </c>
      <c r="C1079" s="2"/>
      <c r="D1079" s="2"/>
      <c r="E1079" s="2"/>
      <c r="F1079" s="2"/>
      <c r="G1079" s="2"/>
      <c r="H1079" s="2"/>
      <c r="I1079" s="2"/>
      <c r="J1079" s="2"/>
      <c r="K1079" s="3"/>
      <c r="L1079" s="2"/>
      <c r="M1079" s="2"/>
      <c r="N1079" s="2" t="s">
        <v>1767</v>
      </c>
    </row>
    <row r="1080" spans="1:14" ht="57.75" customHeight="1" x14ac:dyDescent="0.35">
      <c r="A1080" s="2"/>
      <c r="B1080" s="2" cm="1">
        <f t="array" ref="B1080">_xlfn.IFS(AND(LEN('Special Help Table'!$A1080)-(LEN(SUBSTITUTE('Special Help Table'!$A1080,";","")))=0,LEN('Special Help Table'!$A1080)-LEN(SUBSTITUTE('Special Help Table'!$A1080,",",""))=1,LEN('Special Help Table'!$A1080)-LEN(SUBSTITUTE('Special Help Table'!$A1080,"and ",""))=0),MID('Special Help Table'!$A1080&amp;" "&amp;'Special Help Table'!$A1080,SEARCH(", ",'Special Help Table'!$A1080)+1,LEN('Special Help Table'!$A1080)),AND(LEN('Special Help Table'!$A1080)-(LEN(SUBSTITUTE('Special Help Table'!$A1080,";","")))=1,LEN('Special Help Table'!$A1080)-LEN(SUBSTITUTE('Special Help Table'!$A1080,"and ",""))=0),MID('Special Help Table'!$A1080,SEARCH(",",'Special Help Table'!$A1080)+1,(SEARCH(";",'Special Help Table'!$A1080)-1)-SEARCH(",",'Special Help Table'!$A1080))&amp;" "&amp;LEFT('Special Help Table'!$A1080,SEARCH(",",'Special Help Table'!$A1080)-1)&amp;";"&amp;RIGHT('Special Help Table'!$A1080,LEN('Special Help Table'!$A1080)-SEARCH(",",'Special Help Table'!$A1080,SEARCH(";",'Special Help Table'!$A1080)))&amp;" "&amp;MID('Special Help Table'!$A1080,SEARCH("; ",'Special Help Table'!$A1080)+2,SEARCH(",",'Special Help Table'!$A1080,SEARCH(";",'Special Help Table'!$A1080))-SEARCH(";",'Special Help Table'!$A1080)-2),AND(LEN('Special Help Table'!$A1080)-LEN(SUBSTITUTE('Special Help Table'!$A1080,"and ",""))=0,LEN('Special Help Table'!$A1080)-LEN(SUBSTITUTE('Special Help Table'!$A1080,";",""))=0),'Special Help Table'!$A1080,AND(LEN('Special Help Table'!$A1080)-LEN(SUBSTITUTE('Special Help Table'!$A1080,",","")=1),LEN('Special Help Table'!$A1080)-LEN(SUBSTITUTE('Special Help Table'!$A1080," ","")=20),LEN('Special Help Table'!$A1080)-LEN(SUBSTITUTE('Special Help Table'!$A1080," and",""))=0,LEN('Special Help Table'!$A1080)-LEN(SUBSTITUTE('Special Help Table'!$A1080,",","",FIND(" ",'Special Help Table'!$A1080)+1))=0),RIGHT('Special Help Table'!$A1080,LEN('Special Help Table'!$A1080)-FIND(", ",'Special Help Table'!$A1080))&amp;" "&amp;LEFT('Special Help Table'!$A1080,FIND(",",'Special Help Table'!$A1080)-1),AND(LEN('Special Help Table'!$A1080)-LEN(SUBSTITUTE('Special Help Table'!$A1080,"editor",""))=6,LEN('Special Help Table'!$A1080)-LEN(SUBSTITUTE('Special Help Table'!$A1080,"(",""))=0,LEN('Special Help Table'!$A1080)-LEN(SUBSTITUTE('Special Help Table'!$A1080,"and",""))=3,LEN('Special Help Table'!$A1080)-LEN(SUBSTITUTE('Special Help Table'!$A1080,",",""))=1,LEN('Special Help Table'!$A1080)-LEN(SUBSTITUTE('Special Help Table'!$A1080," ",""))=3),'Special Help Table'!$A1080)</f>
        <v>0</v>
      </c>
      <c r="C1080" s="2"/>
      <c r="D1080" s="2"/>
      <c r="E1080" s="2"/>
      <c r="F1080" s="2"/>
      <c r="G1080" s="2"/>
      <c r="H1080" s="2"/>
      <c r="I1080" s="2"/>
      <c r="J1080" s="2"/>
      <c r="K1080" s="3"/>
      <c r="L1080" s="2"/>
      <c r="M1080" s="2"/>
      <c r="N1080" s="2" t="s">
        <v>1767</v>
      </c>
    </row>
    <row r="1081" spans="1:14" ht="15.75" customHeight="1" x14ac:dyDescent="0.35">
      <c r="A1081" s="2"/>
      <c r="B1081" s="2" cm="1">
        <f t="array" ref="B1081">_xlfn.IFS(AND(LEN('Special Help Table'!$A1081)-(LEN(SUBSTITUTE('Special Help Table'!$A1081,";","")))=0,LEN('Special Help Table'!$A1081)-LEN(SUBSTITUTE('Special Help Table'!$A1081,",",""))=1,LEN('Special Help Table'!$A1081)-LEN(SUBSTITUTE('Special Help Table'!$A1081,"and ",""))=0),MID('Special Help Table'!$A1081&amp;" "&amp;'Special Help Table'!$A1081,SEARCH(", ",'Special Help Table'!$A1081)+1,LEN('Special Help Table'!$A1081)),AND(LEN('Special Help Table'!$A1081)-(LEN(SUBSTITUTE('Special Help Table'!$A1081,";","")))=1,LEN('Special Help Table'!$A1081)-LEN(SUBSTITUTE('Special Help Table'!$A1081,"and ",""))=0),MID('Special Help Table'!$A1081,SEARCH(",",'Special Help Table'!$A1081)+1,(SEARCH(";",'Special Help Table'!$A1081)-1)-SEARCH(",",'Special Help Table'!$A1081))&amp;" "&amp;LEFT('Special Help Table'!$A1081,SEARCH(",",'Special Help Table'!$A1081)-1)&amp;";"&amp;RIGHT('Special Help Table'!$A1081,LEN('Special Help Table'!$A1081)-SEARCH(",",'Special Help Table'!$A1081,SEARCH(";",'Special Help Table'!$A1081)))&amp;" "&amp;MID('Special Help Table'!$A1081,SEARCH("; ",'Special Help Table'!$A1081)+2,SEARCH(",",'Special Help Table'!$A1081,SEARCH(";",'Special Help Table'!$A1081))-SEARCH(";",'Special Help Table'!$A1081)-2),AND(LEN('Special Help Table'!$A1081)-LEN(SUBSTITUTE('Special Help Table'!$A1081,"and ",""))=0,LEN('Special Help Table'!$A1081)-LEN(SUBSTITUTE('Special Help Table'!$A1081,";",""))=0),'Special Help Table'!$A1081,AND(LEN('Special Help Table'!$A1081)-LEN(SUBSTITUTE('Special Help Table'!$A1081,",","")=1),LEN('Special Help Table'!$A1081)-LEN(SUBSTITUTE('Special Help Table'!$A1081," ","")=20),LEN('Special Help Table'!$A1081)-LEN(SUBSTITUTE('Special Help Table'!$A1081," and",""))=0,LEN('Special Help Table'!$A1081)-LEN(SUBSTITUTE('Special Help Table'!$A1081,",","",FIND(" ",'Special Help Table'!$A1081)+1))=0),RIGHT('Special Help Table'!$A1081,LEN('Special Help Table'!$A1081)-FIND(", ",'Special Help Table'!$A1081))&amp;" "&amp;LEFT('Special Help Table'!$A1081,FIND(",",'Special Help Table'!$A1081)-1),AND(LEN('Special Help Table'!$A1081)-LEN(SUBSTITUTE('Special Help Table'!$A1081,"editor",""))=6,LEN('Special Help Table'!$A1081)-LEN(SUBSTITUTE('Special Help Table'!$A1081,"(",""))=0,LEN('Special Help Table'!$A1081)-LEN(SUBSTITUTE('Special Help Table'!$A1081,"and",""))=3,LEN('Special Help Table'!$A1081)-LEN(SUBSTITUTE('Special Help Table'!$A1081,",",""))=1,LEN('Special Help Table'!$A1081)-LEN(SUBSTITUTE('Special Help Table'!$A1081," ",""))=3),'Special Help Table'!$A1081)</f>
        <v>0</v>
      </c>
      <c r="C1081" s="2"/>
      <c r="D1081" s="2"/>
      <c r="E1081" s="2"/>
      <c r="F1081" s="2"/>
      <c r="G1081" s="2"/>
      <c r="H1081" s="2"/>
      <c r="I1081" s="2"/>
      <c r="J1081" s="2"/>
      <c r="K1081" s="3"/>
      <c r="L1081" s="2"/>
      <c r="M1081" s="2"/>
      <c r="N1081" s="2" t="s">
        <v>1767</v>
      </c>
    </row>
    <row r="1082" spans="1:14" ht="15.75" customHeight="1" x14ac:dyDescent="0.35">
      <c r="A1082" s="2"/>
      <c r="B1082" s="2" cm="1">
        <f t="array" ref="B1082">_xlfn.IFS(AND(LEN('Special Help Table'!$A1082)-(LEN(SUBSTITUTE('Special Help Table'!$A1082,";","")))=0,LEN('Special Help Table'!$A1082)-LEN(SUBSTITUTE('Special Help Table'!$A1082,",",""))=1,LEN('Special Help Table'!$A1082)-LEN(SUBSTITUTE('Special Help Table'!$A1082,"and ",""))=0),MID('Special Help Table'!$A1082&amp;" "&amp;'Special Help Table'!$A1082,SEARCH(", ",'Special Help Table'!$A1082)+1,LEN('Special Help Table'!$A1082)),AND(LEN('Special Help Table'!$A1082)-(LEN(SUBSTITUTE('Special Help Table'!$A1082,";","")))=1,LEN('Special Help Table'!$A1082)-LEN(SUBSTITUTE('Special Help Table'!$A1082,"and ",""))=0),MID('Special Help Table'!$A1082,SEARCH(",",'Special Help Table'!$A1082)+1,(SEARCH(";",'Special Help Table'!$A1082)-1)-SEARCH(",",'Special Help Table'!$A1082))&amp;" "&amp;LEFT('Special Help Table'!$A1082,SEARCH(",",'Special Help Table'!$A1082)-1)&amp;";"&amp;RIGHT('Special Help Table'!$A1082,LEN('Special Help Table'!$A1082)-SEARCH(",",'Special Help Table'!$A1082,SEARCH(";",'Special Help Table'!$A1082)))&amp;" "&amp;MID('Special Help Table'!$A1082,SEARCH("; ",'Special Help Table'!$A1082)+2,SEARCH(",",'Special Help Table'!$A1082,SEARCH(";",'Special Help Table'!$A1082))-SEARCH(";",'Special Help Table'!$A1082)-2),AND(LEN('Special Help Table'!$A1082)-LEN(SUBSTITUTE('Special Help Table'!$A1082,"and ",""))=0,LEN('Special Help Table'!$A1082)-LEN(SUBSTITUTE('Special Help Table'!$A1082,";",""))=0),'Special Help Table'!$A1082,AND(LEN('Special Help Table'!$A1082)-LEN(SUBSTITUTE('Special Help Table'!$A1082,",","")=1),LEN('Special Help Table'!$A1082)-LEN(SUBSTITUTE('Special Help Table'!$A1082," ","")=20),LEN('Special Help Table'!$A1082)-LEN(SUBSTITUTE('Special Help Table'!$A1082," and",""))=0,LEN('Special Help Table'!$A1082)-LEN(SUBSTITUTE('Special Help Table'!$A1082,",","",FIND(" ",'Special Help Table'!$A1082)+1))=0),RIGHT('Special Help Table'!$A1082,LEN('Special Help Table'!$A1082)-FIND(", ",'Special Help Table'!$A1082))&amp;" "&amp;LEFT('Special Help Table'!$A1082,FIND(",",'Special Help Table'!$A1082)-1),AND(LEN('Special Help Table'!$A1082)-LEN(SUBSTITUTE('Special Help Table'!$A1082,"editor",""))=6,LEN('Special Help Table'!$A1082)-LEN(SUBSTITUTE('Special Help Table'!$A1082,"(",""))=0,LEN('Special Help Table'!$A1082)-LEN(SUBSTITUTE('Special Help Table'!$A1082,"and",""))=3,LEN('Special Help Table'!$A1082)-LEN(SUBSTITUTE('Special Help Table'!$A1082,",",""))=1,LEN('Special Help Table'!$A1082)-LEN(SUBSTITUTE('Special Help Table'!$A1082," ",""))=3),'Special Help Table'!$A1082)</f>
        <v>0</v>
      </c>
      <c r="C1082" s="2"/>
      <c r="D1082" s="2"/>
      <c r="E1082" s="2"/>
      <c r="F1082" s="2"/>
      <c r="G1082" s="2"/>
      <c r="H1082" s="2"/>
      <c r="I1082" s="2"/>
      <c r="J1082" s="2"/>
      <c r="K1082" s="3"/>
      <c r="L1082" s="2"/>
      <c r="M1082" s="2"/>
      <c r="N1082" s="2" t="s">
        <v>1767</v>
      </c>
    </row>
    <row r="1083" spans="1:14" ht="15.75" customHeight="1" x14ac:dyDescent="0.35">
      <c r="A1083" s="2"/>
      <c r="B1083" s="2" cm="1">
        <f t="array" ref="B1083">_xlfn.IFS(AND(LEN('Special Help Table'!$A1083)-(LEN(SUBSTITUTE('Special Help Table'!$A1083,";","")))=0,LEN('Special Help Table'!$A1083)-LEN(SUBSTITUTE('Special Help Table'!$A1083,",",""))=1,LEN('Special Help Table'!$A1083)-LEN(SUBSTITUTE('Special Help Table'!$A1083,"and ",""))=0),MID('Special Help Table'!$A1083&amp;" "&amp;'Special Help Table'!$A1083,SEARCH(", ",'Special Help Table'!$A1083)+1,LEN('Special Help Table'!$A1083)),AND(LEN('Special Help Table'!$A1083)-(LEN(SUBSTITUTE('Special Help Table'!$A1083,";","")))=1,LEN('Special Help Table'!$A1083)-LEN(SUBSTITUTE('Special Help Table'!$A1083,"and ",""))=0),MID('Special Help Table'!$A1083,SEARCH(",",'Special Help Table'!$A1083)+1,(SEARCH(";",'Special Help Table'!$A1083)-1)-SEARCH(",",'Special Help Table'!$A1083))&amp;" "&amp;LEFT('Special Help Table'!$A1083,SEARCH(",",'Special Help Table'!$A1083)-1)&amp;";"&amp;RIGHT('Special Help Table'!$A1083,LEN('Special Help Table'!$A1083)-SEARCH(",",'Special Help Table'!$A1083,SEARCH(";",'Special Help Table'!$A1083)))&amp;" "&amp;MID('Special Help Table'!$A1083,SEARCH("; ",'Special Help Table'!$A1083)+2,SEARCH(",",'Special Help Table'!$A1083,SEARCH(";",'Special Help Table'!$A1083))-SEARCH(";",'Special Help Table'!$A1083)-2),AND(LEN('Special Help Table'!$A1083)-LEN(SUBSTITUTE('Special Help Table'!$A1083,"and ",""))=0,LEN('Special Help Table'!$A1083)-LEN(SUBSTITUTE('Special Help Table'!$A1083,";",""))=0),'Special Help Table'!$A1083,AND(LEN('Special Help Table'!$A1083)-LEN(SUBSTITUTE('Special Help Table'!$A1083,",","")=1),LEN('Special Help Table'!$A1083)-LEN(SUBSTITUTE('Special Help Table'!$A1083," ","")=20),LEN('Special Help Table'!$A1083)-LEN(SUBSTITUTE('Special Help Table'!$A1083," and",""))=0,LEN('Special Help Table'!$A1083)-LEN(SUBSTITUTE('Special Help Table'!$A1083,",","",FIND(" ",'Special Help Table'!$A1083)+1))=0),RIGHT('Special Help Table'!$A1083,LEN('Special Help Table'!$A1083)-FIND(", ",'Special Help Table'!$A1083))&amp;" "&amp;LEFT('Special Help Table'!$A1083,FIND(",",'Special Help Table'!$A1083)-1),AND(LEN('Special Help Table'!$A1083)-LEN(SUBSTITUTE('Special Help Table'!$A1083,"editor",""))=6,LEN('Special Help Table'!$A1083)-LEN(SUBSTITUTE('Special Help Table'!$A1083,"(",""))=0,LEN('Special Help Table'!$A1083)-LEN(SUBSTITUTE('Special Help Table'!$A1083,"and",""))=3,LEN('Special Help Table'!$A1083)-LEN(SUBSTITUTE('Special Help Table'!$A1083,",",""))=1,LEN('Special Help Table'!$A1083)-LEN(SUBSTITUTE('Special Help Table'!$A1083," ",""))=3),'Special Help Table'!$A1083)</f>
        <v>0</v>
      </c>
      <c r="C1083" s="2"/>
      <c r="D1083" s="2"/>
      <c r="E1083" s="2"/>
      <c r="F1083" s="2"/>
      <c r="G1083" s="2"/>
      <c r="H1083" s="2"/>
      <c r="I1083" s="2"/>
      <c r="J1083" s="2"/>
      <c r="K1083" s="3"/>
      <c r="L1083" s="2"/>
      <c r="M1083" s="2"/>
      <c r="N1083" s="2" t="s">
        <v>1767</v>
      </c>
    </row>
    <row r="1084" spans="1:14" ht="15.75" customHeight="1" x14ac:dyDescent="0.35">
      <c r="A1084" s="2"/>
      <c r="B1084" s="2" cm="1">
        <f t="array" ref="B1084">_xlfn.IFS(AND(LEN('Special Help Table'!$A1084)-(LEN(SUBSTITUTE('Special Help Table'!$A1084,";","")))=0,LEN('Special Help Table'!$A1084)-LEN(SUBSTITUTE('Special Help Table'!$A1084,",",""))=1,LEN('Special Help Table'!$A1084)-LEN(SUBSTITUTE('Special Help Table'!$A1084,"and ",""))=0),MID('Special Help Table'!$A1084&amp;" "&amp;'Special Help Table'!$A1084,SEARCH(", ",'Special Help Table'!$A1084)+1,LEN('Special Help Table'!$A1084)),AND(LEN('Special Help Table'!$A1084)-(LEN(SUBSTITUTE('Special Help Table'!$A1084,";","")))=1,LEN('Special Help Table'!$A1084)-LEN(SUBSTITUTE('Special Help Table'!$A1084,"and ",""))=0),MID('Special Help Table'!$A1084,SEARCH(",",'Special Help Table'!$A1084)+1,(SEARCH(";",'Special Help Table'!$A1084)-1)-SEARCH(",",'Special Help Table'!$A1084))&amp;" "&amp;LEFT('Special Help Table'!$A1084,SEARCH(",",'Special Help Table'!$A1084)-1)&amp;";"&amp;RIGHT('Special Help Table'!$A1084,LEN('Special Help Table'!$A1084)-SEARCH(",",'Special Help Table'!$A1084,SEARCH(";",'Special Help Table'!$A1084)))&amp;" "&amp;MID('Special Help Table'!$A1084,SEARCH("; ",'Special Help Table'!$A1084)+2,SEARCH(",",'Special Help Table'!$A1084,SEARCH(";",'Special Help Table'!$A1084))-SEARCH(";",'Special Help Table'!$A1084)-2),AND(LEN('Special Help Table'!$A1084)-LEN(SUBSTITUTE('Special Help Table'!$A1084,"and ",""))=0,LEN('Special Help Table'!$A1084)-LEN(SUBSTITUTE('Special Help Table'!$A1084,";",""))=0),'Special Help Table'!$A1084,AND(LEN('Special Help Table'!$A1084)-LEN(SUBSTITUTE('Special Help Table'!$A1084,",","")=1),LEN('Special Help Table'!$A1084)-LEN(SUBSTITUTE('Special Help Table'!$A1084," ","")=20),LEN('Special Help Table'!$A1084)-LEN(SUBSTITUTE('Special Help Table'!$A1084," and",""))=0,LEN('Special Help Table'!$A1084)-LEN(SUBSTITUTE('Special Help Table'!$A1084,",","",FIND(" ",'Special Help Table'!$A1084)+1))=0),RIGHT('Special Help Table'!$A1084,LEN('Special Help Table'!$A1084)-FIND(", ",'Special Help Table'!$A1084))&amp;" "&amp;LEFT('Special Help Table'!$A1084,FIND(",",'Special Help Table'!$A1084)-1),AND(LEN('Special Help Table'!$A1084)-LEN(SUBSTITUTE('Special Help Table'!$A1084,"editor",""))=6,LEN('Special Help Table'!$A1084)-LEN(SUBSTITUTE('Special Help Table'!$A1084,"(",""))=0,LEN('Special Help Table'!$A1084)-LEN(SUBSTITUTE('Special Help Table'!$A1084,"and",""))=3,LEN('Special Help Table'!$A1084)-LEN(SUBSTITUTE('Special Help Table'!$A1084,",",""))=1,LEN('Special Help Table'!$A1084)-LEN(SUBSTITUTE('Special Help Table'!$A1084," ",""))=3),'Special Help Table'!$A1084)</f>
        <v>0</v>
      </c>
      <c r="C1084" s="2"/>
      <c r="D1084" s="2"/>
      <c r="E1084" s="2"/>
      <c r="F1084" s="2"/>
      <c r="G1084" s="2"/>
      <c r="H1084" s="2"/>
      <c r="I1084" s="2"/>
      <c r="J1084" s="2"/>
      <c r="K1084" s="3"/>
      <c r="L1084" s="2"/>
      <c r="M1084" s="2"/>
      <c r="N1084" s="2" t="s">
        <v>1767</v>
      </c>
    </row>
  </sheetData>
  <conditionalFormatting sqref="E1:E1084">
    <cfRule type="containsText" dxfId="11" priority="1" operator="containsText" text="CD">
      <formula>NOT(ISERROR(SEARCH(("CD"),(E1))))</formula>
    </cfRule>
    <cfRule type="containsText" dxfId="10" priority="2" operator="containsText" text="DVD">
      <formula>NOT(ISERROR(SEARCH(("DVD"),(E1))))</formula>
    </cfRule>
    <cfRule type="containsText" dxfId="9" priority="3" operator="containsText" text="Book">
      <formula>NOT(ISERROR(SEARCH(("Book"),(E1))))</formula>
    </cfRule>
  </conditionalFormatting>
  <dataValidations count="1">
    <dataValidation type="list" allowBlank="1" showErrorMessage="1" sqref="E1:E1084" xr:uid="{00000000-0002-0000-0000-000000000000}">
      <formula1>"""Book""+""Dvd"""</formula1>
    </dataValidation>
  </dataValidations>
  <pageMargins left="0.7" right="0.7" top="0.75" bottom="0.75" header="0" footer="0"/>
  <pageSetup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555"/>
  <sheetViews>
    <sheetView workbookViewId="0">
      <pane ySplit="2" topLeftCell="A3" activePane="bottomLeft" state="frozen"/>
      <selection pane="bottomLeft" activeCell="C2" sqref="C2"/>
    </sheetView>
  </sheetViews>
  <sheetFormatPr defaultColWidth="14.453125" defaultRowHeight="15" customHeight="1" x14ac:dyDescent="0.35"/>
  <cols>
    <col min="1" max="1" width="41.7265625" customWidth="1"/>
    <col min="2" max="2" width="41.54296875" hidden="1" customWidth="1"/>
    <col min="3" max="3" width="71.7265625" customWidth="1"/>
    <col min="4" max="5" width="40.453125" customWidth="1"/>
    <col min="6" max="8" width="22.54296875" customWidth="1"/>
    <col min="9" max="10" width="17.453125" customWidth="1"/>
    <col min="11" max="11" width="48.54296875" customWidth="1"/>
    <col min="12" max="12" width="11.453125" customWidth="1"/>
    <col min="13" max="13" width="60.54296875" customWidth="1"/>
    <col min="14" max="14" width="56.54296875" customWidth="1"/>
  </cols>
  <sheetData>
    <row r="1" spans="1:14" ht="45.75" customHeight="1" x14ac:dyDescent="0.35">
      <c r="A1" s="5" t="s">
        <v>1768</v>
      </c>
      <c r="B1" s="2" t="s">
        <v>1769</v>
      </c>
      <c r="C1" s="15"/>
      <c r="D1" s="7" t="s">
        <v>1770</v>
      </c>
    </row>
    <row r="2" spans="1:14" ht="36.75" customHeight="1" x14ac:dyDescent="0.35">
      <c r="A2" s="8" t="s">
        <v>0</v>
      </c>
      <c r="B2" s="9" t="s">
        <v>1771</v>
      </c>
      <c r="C2" s="10"/>
      <c r="D2" s="9" t="s">
        <v>3</v>
      </c>
      <c r="E2" s="9" t="s">
        <v>4</v>
      </c>
      <c r="F2" s="9" t="s">
        <v>5</v>
      </c>
      <c r="G2" s="9" t="s">
        <v>6</v>
      </c>
      <c r="H2" s="9" t="s">
        <v>7</v>
      </c>
      <c r="I2" s="9" t="s">
        <v>8</v>
      </c>
      <c r="J2" s="9" t="s">
        <v>9</v>
      </c>
      <c r="K2" s="9" t="s">
        <v>10</v>
      </c>
      <c r="L2" s="9" t="s">
        <v>11</v>
      </c>
      <c r="M2" s="9" t="s">
        <v>12</v>
      </c>
      <c r="N2" s="11" t="s">
        <v>13</v>
      </c>
    </row>
    <row r="3" spans="1:14" ht="14.5" x14ac:dyDescent="0.35">
      <c r="A3" s="2" t="str">
        <f ca="1">IFERROR(__xludf.DUMMYFUNCTION("FILTER('Special Help Table'!A2:N1084,ISNUMBER(SEARCH(C1,'Special Help Table'!A2:A1084))+ISNUMBER(SEARCH(C1,'Special Help Table'!B2:B1084))+ISNUMBER(SEARCH(C1,'Special Help Table'!C2:C1084))+ISNUMBER(SEARCH(C1,'Special Help Table'!D2:D1084))+ISNUMBER(SEARC"&amp;"H(C1,'Special Help Table'!E2:E1084))+ISNUMBER(SEARCH(C1,'Special Help Table'!F2:F1084))+ISNUMBER(SEARCH(C1,'Special Help Table'!G2:G1084))+ISNUMBER(SEARCH(C1,'Special Help Table'!H2:H1084))+ISNUMBER(SEARCH(C1,'Special Help Table'!I2:I1084))+ISNUMBER(SEARC"&amp;"H(C1,'Special Help Table'!J2:J1084))+ISNUMBER(SEARCH(C1,'Special Help Table'!K2:K1084))+ISNUMBER(SEARCH(C1,'Special Help Table'!L2:L1084))+ISNUMBER(SEARCH(C1,'Special Help Table'!M2:M1084))+ISNUMBER(SEARCH(C1,'Special Help Table'!N2:N1084)))"),"Adams, Jay")</f>
        <v>Adams, Jay</v>
      </c>
      <c r="B3" s="12" t="str">
        <f ca="1">IFERROR(__xludf.DUMMYFUNCTION("""COMPUTED_VALUE""")," Jay Adams")</f>
        <v xml:space="preserve"> Jay Adams</v>
      </c>
      <c r="C3" s="12" t="str">
        <f ca="1">IFERROR(__xludf.DUMMYFUNCTION("""COMPUTED_VALUE"""),"The Biblical View of Self-Esteem, Self-Love, Self-Image")</f>
        <v>The Biblical View of Self-Esteem, Self-Love, Self-Image</v>
      </c>
      <c r="D3" s="4"/>
      <c r="E3" s="12" t="str">
        <f ca="1">IFERROR(__xludf.DUMMYFUNCTION("""COMPUTED_VALUE"""),"Book")</f>
        <v>Book</v>
      </c>
      <c r="F3" s="12" t="str">
        <f ca="1">IFERROR(__xludf.DUMMYFUNCTION("""COMPUTED_VALUE"""),"Understanding Mankind")</f>
        <v>Understanding Mankind</v>
      </c>
      <c r="G3" s="12"/>
      <c r="H3" s="12"/>
      <c r="I3" s="12"/>
      <c r="J3" s="12"/>
      <c r="K3" s="13">
        <f ca="1">IFERROR(__xludf.DUMMYFUNCTION("""COMPUTED_VALUE"""),40026)</f>
        <v>40026</v>
      </c>
      <c r="L3" s="12"/>
      <c r="M3" s="12"/>
      <c r="N3" s="12" t="str">
        <f ca="1">IFERROR(__xludf.DUMMYFUNCTION("""COMPUTED_VALUE"""),"Table1")</f>
        <v>Table1</v>
      </c>
    </row>
    <row r="4" spans="1:14" ht="14.5" x14ac:dyDescent="0.35">
      <c r="A4" s="12" t="str">
        <f ca="1">IFERROR(__xludf.DUMMYFUNCTION("""COMPUTED_VALUE"""),"Adams, Jay")</f>
        <v>Adams, Jay</v>
      </c>
      <c r="B4" s="12" t="str">
        <f ca="1">IFERROR(__xludf.DUMMYFUNCTION("""COMPUTED_VALUE""")," Jay Adams")</f>
        <v xml:space="preserve"> Jay Adams</v>
      </c>
      <c r="C4" s="12" t="str">
        <f ca="1">IFERROR(__xludf.DUMMYFUNCTION("""COMPUTED_VALUE"""),"A Call for Discernment: Distinguishing Truth from Error in Today's Church")</f>
        <v>A Call for Discernment: Distinguishing Truth from Error in Today's Church</v>
      </c>
      <c r="D4" s="4"/>
      <c r="E4" s="12" t="str">
        <f ca="1">IFERROR(__xludf.DUMMYFUNCTION("""COMPUTED_VALUE"""),"Book")</f>
        <v>Book</v>
      </c>
      <c r="F4" s="12" t="str">
        <f ca="1">IFERROR(__xludf.DUMMYFUNCTION("""COMPUTED_VALUE"""),"Worldview")</f>
        <v>Worldview</v>
      </c>
      <c r="G4" s="12"/>
      <c r="H4" s="12"/>
      <c r="I4" s="12"/>
      <c r="J4" s="12"/>
      <c r="K4" s="13">
        <f ca="1">IFERROR(__xludf.DUMMYFUNCTION("""COMPUTED_VALUE"""),40026)</f>
        <v>40026</v>
      </c>
      <c r="L4" s="12"/>
      <c r="M4" s="12"/>
      <c r="N4" s="12" t="str">
        <f ca="1">IFERROR(__xludf.DUMMYFUNCTION("""COMPUTED_VALUE"""),"Table1")</f>
        <v>Table1</v>
      </c>
    </row>
    <row r="5" spans="1:14" ht="14.5" x14ac:dyDescent="0.35">
      <c r="A5" s="12" t="str">
        <f ca="1">IFERROR(__xludf.DUMMYFUNCTION("""COMPUTED_VALUE"""),"Adams, Jay")</f>
        <v>Adams, Jay</v>
      </c>
      <c r="B5" s="12" t="str">
        <f ca="1">IFERROR(__xludf.DUMMYFUNCTION("""COMPUTED_VALUE""")," Jay Adams")</f>
        <v xml:space="preserve"> Jay Adams</v>
      </c>
      <c r="C5" s="12" t="str">
        <f ca="1">IFERROR(__xludf.DUMMYFUNCTION("""COMPUTED_VALUE"""),"Competent to Counsel")</f>
        <v>Competent to Counsel</v>
      </c>
      <c r="D5" s="4"/>
      <c r="E5" s="12" t="str">
        <f ca="1">IFERROR(__xludf.DUMMYFUNCTION("""COMPUTED_VALUE"""),"Book")</f>
        <v>Book</v>
      </c>
      <c r="F5" s="12" t="str">
        <f ca="1">IFERROR(__xludf.DUMMYFUNCTION("""COMPUTED_VALUE"""),"Understanding Mankind")</f>
        <v>Understanding Mankind</v>
      </c>
      <c r="G5" s="12"/>
      <c r="H5" s="12"/>
      <c r="I5" s="12"/>
      <c r="J5" s="12" t="str">
        <f ca="1">IFERROR(__xludf.DUMMYFUNCTION("""COMPUTED_VALUE"""),"Counseling")</f>
        <v>Counseling</v>
      </c>
      <c r="K5" s="13">
        <f ca="1">IFERROR(__xludf.DUMMYFUNCTION("""COMPUTED_VALUE"""),40034)</f>
        <v>40034</v>
      </c>
      <c r="L5" s="12"/>
      <c r="M5" s="12"/>
      <c r="N5" s="12" t="str">
        <f ca="1">IFERROR(__xludf.DUMMYFUNCTION("""COMPUTED_VALUE"""),"Table1")</f>
        <v>Table1</v>
      </c>
    </row>
    <row r="6" spans="1:14" ht="14.5" x14ac:dyDescent="0.35">
      <c r="A6" s="12" t="str">
        <f ca="1">IFERROR(__xludf.DUMMYFUNCTION("""COMPUTED_VALUE"""),"Adams, Jay")</f>
        <v>Adams, Jay</v>
      </c>
      <c r="B6" s="12" t="str">
        <f ca="1">IFERROR(__xludf.DUMMYFUNCTION("""COMPUTED_VALUE""")," Jay Adams")</f>
        <v xml:space="preserve"> Jay Adams</v>
      </c>
      <c r="C6" s="12" t="str">
        <f ca="1">IFERROR(__xludf.DUMMYFUNCTION("""COMPUTED_VALUE"""),"Marriage, Divorce and Remarriage in the Bible")</f>
        <v>Marriage, Divorce and Remarriage in the Bible</v>
      </c>
      <c r="D6" s="4"/>
      <c r="E6" s="12" t="str">
        <f ca="1">IFERROR(__xludf.DUMMYFUNCTION("""COMPUTED_VALUE"""),"Book")</f>
        <v>Book</v>
      </c>
      <c r="F6" s="12" t="str">
        <f ca="1">IFERROR(__xludf.DUMMYFUNCTION("""COMPUTED_VALUE"""),"Understanding Mankind")</f>
        <v>Understanding Mankind</v>
      </c>
      <c r="G6" s="12"/>
      <c r="H6" s="12"/>
      <c r="I6" s="12"/>
      <c r="J6" s="12" t="str">
        <f ca="1">IFERROR(__xludf.DUMMYFUNCTION("""COMPUTED_VALUE"""),"Marriage, Divorce")</f>
        <v>Marriage, Divorce</v>
      </c>
      <c r="K6" s="13">
        <f ca="1">IFERROR(__xludf.DUMMYFUNCTION("""COMPUTED_VALUE"""),40034)</f>
        <v>40034</v>
      </c>
      <c r="L6" s="12"/>
      <c r="M6" s="12"/>
      <c r="N6" s="12" t="str">
        <f ca="1">IFERROR(__xludf.DUMMYFUNCTION("""COMPUTED_VALUE"""),"Table1")</f>
        <v>Table1</v>
      </c>
    </row>
    <row r="7" spans="1:14" ht="14.5" x14ac:dyDescent="0.35">
      <c r="A7" s="12" t="str">
        <f ca="1">IFERROR(__xludf.DUMMYFUNCTION("""COMPUTED_VALUE"""),"Adams, Jay")</f>
        <v>Adams, Jay</v>
      </c>
      <c r="B7" s="12" t="str">
        <f ca="1">IFERROR(__xludf.DUMMYFUNCTION("""COMPUTED_VALUE""")," Jay Adams")</f>
        <v xml:space="preserve"> Jay Adams</v>
      </c>
      <c r="C7" s="12" t="str">
        <f ca="1">IFERROR(__xludf.DUMMYFUNCTION("""COMPUTED_VALUE"""),"A Theology of Christian Counseling")</f>
        <v>A Theology of Christian Counseling</v>
      </c>
      <c r="D7" s="4"/>
      <c r="E7" s="12" t="str">
        <f ca="1">IFERROR(__xludf.DUMMYFUNCTION("""COMPUTED_VALUE"""),"Book")</f>
        <v>Book</v>
      </c>
      <c r="F7" s="12" t="str">
        <f ca="1">IFERROR(__xludf.DUMMYFUNCTION("""COMPUTED_VALUE"""),"Understanding Mankind")</f>
        <v>Understanding Mankind</v>
      </c>
      <c r="G7" s="12"/>
      <c r="H7" s="12"/>
      <c r="I7" s="12"/>
      <c r="J7" s="12" t="str">
        <f ca="1">IFERROR(__xludf.DUMMYFUNCTION("""COMPUTED_VALUE"""),"Counseling")</f>
        <v>Counseling</v>
      </c>
      <c r="K7" s="13">
        <f ca="1">IFERROR(__xludf.DUMMYFUNCTION("""COMPUTED_VALUE"""),40034)</f>
        <v>40034</v>
      </c>
      <c r="L7" s="12"/>
      <c r="M7" s="12"/>
      <c r="N7" s="12" t="str">
        <f ca="1">IFERROR(__xludf.DUMMYFUNCTION("""COMPUTED_VALUE"""),"Table1")</f>
        <v>Table1</v>
      </c>
    </row>
    <row r="8" spans="1:14" ht="14.5" x14ac:dyDescent="0.35">
      <c r="A8" s="12" t="str">
        <f ca="1">IFERROR(__xludf.DUMMYFUNCTION("""COMPUTED_VALUE"""),"Alexander, T. Desmond")</f>
        <v>Alexander, T. Desmond</v>
      </c>
      <c r="B8" s="12" t="str">
        <f ca="1">IFERROR(__xludf.DUMMYFUNCTION("""COMPUTED_VALUE""")," T. Desmond Alexander")</f>
        <v xml:space="preserve"> T. Desmond Alexander</v>
      </c>
      <c r="C8" s="12" t="str">
        <f ca="1">IFERROR(__xludf.DUMMYFUNCTION("""COMPUTED_VALUE"""),"The City of God and the Goal of Creation")</f>
        <v>The City of God and the Goal of Creation</v>
      </c>
      <c r="D8" s="4"/>
      <c r="E8" s="12" t="str">
        <f ca="1">IFERROR(__xludf.DUMMYFUNCTION("""COMPUTED_VALUE"""),"Book")</f>
        <v>Book</v>
      </c>
      <c r="F8" s="12" t="str">
        <f ca="1">IFERROR(__xludf.DUMMYFUNCTION("""COMPUTED_VALUE"""),"Theology")</f>
        <v>Theology</v>
      </c>
      <c r="G8" s="12"/>
      <c r="H8" s="12"/>
      <c r="I8" s="12"/>
      <c r="J8" s="12"/>
      <c r="K8" s="13"/>
      <c r="L8" s="12"/>
      <c r="M8" s="12"/>
      <c r="N8" s="12" t="str">
        <f ca="1">IFERROR(__xludf.DUMMYFUNCTION("""COMPUTED_VALUE"""),"Table1")</f>
        <v>Table1</v>
      </c>
    </row>
    <row r="9" spans="1:14" ht="14.5" x14ac:dyDescent="0.35">
      <c r="A9" s="12" t="str">
        <f ca="1">IFERROR(__xludf.DUMMYFUNCTION("""COMPUTED_VALUE"""),"Allberry, Sam")</f>
        <v>Allberry, Sam</v>
      </c>
      <c r="B9" s="12" t="str">
        <f ca="1">IFERROR(__xludf.DUMMYFUNCTION("""COMPUTED_VALUE""")," Sam Allberry")</f>
        <v xml:space="preserve"> Sam Allberry</v>
      </c>
      <c r="C9" s="12" t="str">
        <f ca="1">IFERROR(__xludf.DUMMYFUNCTION("""COMPUTED_VALUE"""),"Is God Anti-Gay?")</f>
        <v>Is God Anti-Gay?</v>
      </c>
      <c r="D9" s="4"/>
      <c r="E9" s="12" t="str">
        <f ca="1">IFERROR(__xludf.DUMMYFUNCTION("""COMPUTED_VALUE"""),"Book")</f>
        <v>Book</v>
      </c>
      <c r="F9" s="12" t="str">
        <f ca="1">IFERROR(__xludf.DUMMYFUNCTION("""COMPUTED_VALUE"""),"Theology")</f>
        <v>Theology</v>
      </c>
      <c r="G9" s="12"/>
      <c r="H9" s="12"/>
      <c r="I9" s="12"/>
      <c r="J9" s="12" t="str">
        <f ca="1">IFERROR(__xludf.DUMMYFUNCTION("""COMPUTED_VALUE"""),"Homosexuality")</f>
        <v>Homosexuality</v>
      </c>
      <c r="K9" s="13">
        <f ca="1">IFERROR(__xludf.DUMMYFUNCTION("""COMPUTED_VALUE"""),41560)</f>
        <v>41560</v>
      </c>
      <c r="L9" s="12"/>
      <c r="M9" s="12"/>
      <c r="N9" s="12" t="str">
        <f ca="1">IFERROR(__xludf.DUMMYFUNCTION("""COMPUTED_VALUE"""),"Table1")</f>
        <v>Table1</v>
      </c>
    </row>
    <row r="10" spans="1:14" ht="14.5" x14ac:dyDescent="0.35">
      <c r="A10" s="12" t="str">
        <f ca="1">IFERROR(__xludf.DUMMYFUNCTION("""COMPUTED_VALUE"""),"Allberry, Sam")</f>
        <v>Allberry, Sam</v>
      </c>
      <c r="B10" s="12" t="str">
        <f ca="1">IFERROR(__xludf.DUMMYFUNCTION("""COMPUTED_VALUE""")," Sam Allberry")</f>
        <v xml:space="preserve"> Sam Allberry</v>
      </c>
      <c r="C10" s="12" t="str">
        <f ca="1">IFERROR(__xludf.DUMMYFUNCTION("""COMPUTED_VALUE"""),"Why bother with the Church")</f>
        <v>Why bother with the Church</v>
      </c>
      <c r="D10" s="4"/>
      <c r="E10" s="12" t="str">
        <f ca="1">IFERROR(__xludf.DUMMYFUNCTION("""COMPUTED_VALUE"""),"Book")</f>
        <v>Book</v>
      </c>
      <c r="F10" s="12" t="str">
        <f ca="1">IFERROR(__xludf.DUMMYFUNCTION("""COMPUTED_VALUE"""),"Church")</f>
        <v>Church</v>
      </c>
      <c r="G10" s="12"/>
      <c r="H10" s="12"/>
      <c r="I10" s="12"/>
      <c r="J10" s="12"/>
      <c r="K10" s="13"/>
      <c r="L10" s="12"/>
      <c r="M10" s="12"/>
      <c r="N10" s="12" t="str">
        <f ca="1">IFERROR(__xludf.DUMMYFUNCTION("""COMPUTED_VALUE"""),"Table1")</f>
        <v>Table1</v>
      </c>
    </row>
    <row r="11" spans="1:14" ht="14.5" x14ac:dyDescent="0.35">
      <c r="A11" s="12" t="str">
        <f ca="1">IFERROR(__xludf.DUMMYFUNCTION("""COMPUTED_VALUE"""),"Allcock, Jonty")</f>
        <v>Allcock, Jonty</v>
      </c>
      <c r="B11" s="12" t="str">
        <f ca="1">IFERROR(__xludf.DUMMYFUNCTION("""COMPUTED_VALUE""")," Jonty Allcock")</f>
        <v xml:space="preserve"> Jonty Allcock</v>
      </c>
      <c r="C11" s="12" t="str">
        <f ca="1">IFERROR(__xludf.DUMMYFUNCTION("""COMPUTED_VALUE"""),"Impossible Commands")</f>
        <v>Impossible Commands</v>
      </c>
      <c r="D11" s="4"/>
      <c r="E11" s="12" t="str">
        <f ca="1">IFERROR(__xludf.DUMMYFUNCTION("""COMPUTED_VALUE"""),"Book")</f>
        <v>Book</v>
      </c>
      <c r="F11" s="12" t="str">
        <f ca="1">IFERROR(__xludf.DUMMYFUNCTION("""COMPUTED_VALUE"""),"Discipleship")</f>
        <v>Discipleship</v>
      </c>
      <c r="G11" s="12"/>
      <c r="H11" s="12"/>
      <c r="I11" s="12"/>
      <c r="J11" s="12"/>
      <c r="K11" s="13">
        <f ca="1">IFERROR(__xludf.DUMMYFUNCTION("""COMPUTED_VALUE"""),43704)</f>
        <v>43704</v>
      </c>
      <c r="L11" s="12"/>
      <c r="M11" s="12"/>
      <c r="N11" s="12" t="str">
        <f ca="1">IFERROR(__xludf.DUMMYFUNCTION("""COMPUTED_VALUE"""),"Table1")</f>
        <v>Table1</v>
      </c>
    </row>
    <row r="12" spans="1:14" ht="14.5" x14ac:dyDescent="0.35">
      <c r="A12" s="12" t="str">
        <f ca="1">IFERROR(__xludf.DUMMYFUNCTION("""COMPUTED_VALUE"""),"Anderson, Courtney")</f>
        <v>Anderson, Courtney</v>
      </c>
      <c r="B12" s="12" t="str">
        <f ca="1">IFERROR(__xludf.DUMMYFUNCTION("""COMPUTED_VALUE""")," Courtney Anderson")</f>
        <v xml:space="preserve"> Courtney Anderson</v>
      </c>
      <c r="C12" s="12" t="str">
        <f ca="1">IFERROR(__xludf.DUMMYFUNCTION("""COMPUTED_VALUE"""),"To the Golden Shore")</f>
        <v>To the Golden Shore</v>
      </c>
      <c r="D12" s="4"/>
      <c r="E12" s="12" t="str">
        <f ca="1">IFERROR(__xludf.DUMMYFUNCTION("""COMPUTED_VALUE"""),"Book")</f>
        <v>Book</v>
      </c>
      <c r="F12" s="12" t="str">
        <f ca="1">IFERROR(__xludf.DUMMYFUNCTION("""COMPUTED_VALUE"""),"Biography")</f>
        <v>Biography</v>
      </c>
      <c r="G12" s="12"/>
      <c r="H12" s="12"/>
      <c r="I12" s="12"/>
      <c r="J12" s="12"/>
      <c r="K12" s="13">
        <f ca="1">IFERROR(__xludf.DUMMYFUNCTION("""COMPUTED_VALUE"""),40034)</f>
        <v>40034</v>
      </c>
      <c r="L12" s="12"/>
      <c r="M12" s="12"/>
      <c r="N12" s="12" t="str">
        <f ca="1">IFERROR(__xludf.DUMMYFUNCTION("""COMPUTED_VALUE"""),"Table1")</f>
        <v>Table1</v>
      </c>
    </row>
    <row r="13" spans="1:14" ht="14.5" x14ac:dyDescent="0.35">
      <c r="A13" s="12" t="str">
        <f ca="1">IFERROR(__xludf.DUMMYFUNCTION("""COMPUTED_VALUE"""),"Anderson, James N")</f>
        <v>Anderson, James N</v>
      </c>
      <c r="B13" s="12" t="str">
        <f ca="1">IFERROR(__xludf.DUMMYFUNCTION("""COMPUTED_VALUE""")," James N Anderson")</f>
        <v xml:space="preserve"> James N Anderson</v>
      </c>
      <c r="C13" s="12" t="str">
        <f ca="1">IFERROR(__xludf.DUMMYFUNCTION("""COMPUTED_VALUE"""),"What's Your Worldview")</f>
        <v>What's Your Worldview</v>
      </c>
      <c r="D13" s="4"/>
      <c r="E13" s="12" t="str">
        <f ca="1">IFERROR(__xludf.DUMMYFUNCTION("""COMPUTED_VALUE"""),"Book")</f>
        <v>Book</v>
      </c>
      <c r="F13" s="12" t="str">
        <f ca="1">IFERROR(__xludf.DUMMYFUNCTION("""COMPUTED_VALUE"""),"Worldview")</f>
        <v>Worldview</v>
      </c>
      <c r="G13" s="12"/>
      <c r="H13" s="12"/>
      <c r="I13" s="12"/>
      <c r="J13" s="12"/>
      <c r="K13" s="13">
        <f ca="1">IFERROR(__xludf.DUMMYFUNCTION("""COMPUTED_VALUE"""),41804)</f>
        <v>41804</v>
      </c>
      <c r="L13" s="12"/>
      <c r="M13" s="12"/>
      <c r="N13" s="12" t="str">
        <f ca="1">IFERROR(__xludf.DUMMYFUNCTION("""COMPUTED_VALUE"""),"Table1")</f>
        <v>Table1</v>
      </c>
    </row>
    <row r="14" spans="1:14" ht="14.5" x14ac:dyDescent="0.35">
      <c r="A14" s="12" t="str">
        <f ca="1">IFERROR(__xludf.DUMMYFUNCTION("""COMPUTED_VALUE"""),"Andreades, Sam A.")</f>
        <v>Andreades, Sam A.</v>
      </c>
      <c r="B14" s="12" t="str">
        <f ca="1">IFERROR(__xludf.DUMMYFUNCTION("""COMPUTED_VALUE""")," Sam A. Andreades")</f>
        <v xml:space="preserve"> Sam A. Andreades</v>
      </c>
      <c r="C14" s="12" t="str">
        <f ca="1">IFERROR(__xludf.DUMMYFUNCTION("""COMPUTED_VALUE"""),"Dating with Discernment: 12 Questions to Make a Lasting Marriage")</f>
        <v>Dating with Discernment: 12 Questions to Make a Lasting Marriage</v>
      </c>
      <c r="D14" s="4"/>
      <c r="E14" s="12" t="str">
        <f ca="1">IFERROR(__xludf.DUMMYFUNCTION("""COMPUTED_VALUE"""),"Book")</f>
        <v>Book</v>
      </c>
      <c r="F14" s="12" t="str">
        <f ca="1">IFERROR(__xludf.DUMMYFUNCTION("""COMPUTED_VALUE"""),"Understanding Mankind")</f>
        <v>Understanding Mankind</v>
      </c>
      <c r="G14" s="12"/>
      <c r="H14" s="12"/>
      <c r="I14" s="12"/>
      <c r="J14" s="12" t="str">
        <f ca="1">IFERROR(__xludf.DUMMYFUNCTION("""COMPUTED_VALUE"""),"Dating")</f>
        <v>Dating</v>
      </c>
      <c r="K14" s="13">
        <f ca="1">IFERROR(__xludf.DUMMYFUNCTION("""COMPUTED_VALUE"""),44772)</f>
        <v>44772</v>
      </c>
      <c r="L14" s="12"/>
      <c r="M14" s="12"/>
      <c r="N14" s="12" t="str">
        <f ca="1">IFERROR(__xludf.DUMMYFUNCTION("""COMPUTED_VALUE"""),"Table1")</f>
        <v>Table1</v>
      </c>
    </row>
    <row r="15" spans="1:14" ht="14.5" x14ac:dyDescent="0.35">
      <c r="A15" s="12" t="str">
        <f ca="1">IFERROR(__xludf.DUMMYFUNCTION("""COMPUTED_VALUE"""),"Andrews, Jim")</f>
        <v>Andrews, Jim</v>
      </c>
      <c r="B15" s="12" t="str">
        <f ca="1">IFERROR(__xludf.DUMMYFUNCTION("""COMPUTED_VALUE""")," Jim Andrews")</f>
        <v xml:space="preserve"> Jim Andrews</v>
      </c>
      <c r="C15" s="12" t="str">
        <f ca="1">IFERROR(__xludf.DUMMYFUNCTION("""COMPUTED_VALUE"""),"Polishing God's Monuments")</f>
        <v>Polishing God's Monuments</v>
      </c>
      <c r="D15" s="4"/>
      <c r="E15" s="12" t="str">
        <f ca="1">IFERROR(__xludf.DUMMYFUNCTION("""COMPUTED_VALUE"""),"Book")</f>
        <v>Book</v>
      </c>
      <c r="F15" s="12" t="str">
        <f ca="1">IFERROR(__xludf.DUMMYFUNCTION("""COMPUTED_VALUE"""),"Discipleship")</f>
        <v>Discipleship</v>
      </c>
      <c r="G15" s="12"/>
      <c r="H15" s="12"/>
      <c r="I15" s="12"/>
      <c r="J15" s="12"/>
      <c r="K15" s="13">
        <f ca="1">IFERROR(__xludf.DUMMYFUNCTION("""COMPUTED_VALUE"""),40247)</f>
        <v>40247</v>
      </c>
      <c r="L15" s="12"/>
      <c r="M15" s="12"/>
      <c r="N15" s="12" t="str">
        <f ca="1">IFERROR(__xludf.DUMMYFUNCTION("""COMPUTED_VALUE"""),"Table1")</f>
        <v>Table1</v>
      </c>
    </row>
    <row r="16" spans="1:14" ht="14.5" x14ac:dyDescent="0.35">
      <c r="A16" s="12" t="str">
        <f ca="1">IFERROR(__xludf.DUMMYFUNCTION("""COMPUTED_VALUE"""),"Anyabwile, Thabiti")</f>
        <v>Anyabwile, Thabiti</v>
      </c>
      <c r="B16" s="12" t="str">
        <f ca="1">IFERROR(__xludf.DUMMYFUNCTION("""COMPUTED_VALUE""")," Thabiti Anyabwile")</f>
        <v xml:space="preserve"> Thabiti Anyabwile</v>
      </c>
      <c r="C16" s="12" t="str">
        <f ca="1">IFERROR(__xludf.DUMMYFUNCTION("""COMPUTED_VALUE"""),"What is a Healthy Church Member?")</f>
        <v>What is a Healthy Church Member?</v>
      </c>
      <c r="D16" s="4"/>
      <c r="E16" s="12" t="str">
        <f ca="1">IFERROR(__xludf.DUMMYFUNCTION("""COMPUTED_VALUE"""),"Book")</f>
        <v>Book</v>
      </c>
      <c r="F16" s="12" t="str">
        <f ca="1">IFERROR(__xludf.DUMMYFUNCTION("""COMPUTED_VALUE"""),"Church")</f>
        <v>Church</v>
      </c>
      <c r="G16" s="12"/>
      <c r="H16" s="12"/>
      <c r="I16" s="12"/>
      <c r="J16" s="12" t="str">
        <f ca="1">IFERROR(__xludf.DUMMYFUNCTION("""COMPUTED_VALUE"""),"Church Membership")</f>
        <v>Church Membership</v>
      </c>
      <c r="K16" s="13">
        <f ca="1">IFERROR(__xludf.DUMMYFUNCTION("""COMPUTED_VALUE"""),40735)</f>
        <v>40735</v>
      </c>
      <c r="L16" s="12"/>
      <c r="M16" s="12"/>
      <c r="N16" s="12" t="str">
        <f ca="1">IFERROR(__xludf.DUMMYFUNCTION("""COMPUTED_VALUE"""),"Table1")</f>
        <v>Table1</v>
      </c>
    </row>
    <row r="17" spans="1:14" ht="14.5" x14ac:dyDescent="0.35">
      <c r="A17" s="12" t="str">
        <f ca="1">IFERROR(__xludf.DUMMYFUNCTION("""COMPUTED_VALUE"""),"Ash, Christopher")</f>
        <v>Ash, Christopher</v>
      </c>
      <c r="B17" s="12" t="str">
        <f ca="1">IFERROR(__xludf.DUMMYFUNCTION("""COMPUTED_VALUE""")," Christopher Ash")</f>
        <v xml:space="preserve"> Christopher Ash</v>
      </c>
      <c r="C17" s="12" t="str">
        <f ca="1">IFERROR(__xludf.DUMMYFUNCTION("""COMPUTED_VALUE"""),"The Book Your Pastor Wishes You Would Read (but is too embarrassed to ask)")</f>
        <v>The Book Your Pastor Wishes You Would Read (but is too embarrassed to ask)</v>
      </c>
      <c r="D17" s="4"/>
      <c r="E17" s="12" t="str">
        <f ca="1">IFERROR(__xludf.DUMMYFUNCTION("""COMPUTED_VALUE"""),"Book")</f>
        <v>Book</v>
      </c>
      <c r="F17" s="12" t="str">
        <f ca="1">IFERROR(__xludf.DUMMYFUNCTION("""COMPUTED_VALUE"""),"Discipleship")</f>
        <v>Discipleship</v>
      </c>
      <c r="G17" s="12" t="str">
        <f ca="1">IFERROR(__xludf.DUMMYFUNCTION("""COMPUTED_VALUE"""),"Church")</f>
        <v>Church</v>
      </c>
      <c r="H17" s="12"/>
      <c r="I17" s="12"/>
      <c r="J17" s="12" t="str">
        <f ca="1">IFERROR(__xludf.DUMMYFUNCTION("""COMPUTED_VALUE"""),"Church Leaders")</f>
        <v>Church Leaders</v>
      </c>
      <c r="K17" s="13">
        <f ca="1">IFERROR(__xludf.DUMMYFUNCTION("""COMPUTED_VALUE"""),43872)</f>
        <v>43872</v>
      </c>
      <c r="L17" s="12"/>
      <c r="M17" s="12"/>
      <c r="N17" s="12" t="str">
        <f ca="1">IFERROR(__xludf.DUMMYFUNCTION("""COMPUTED_VALUE"""),"Table1")</f>
        <v>Table1</v>
      </c>
    </row>
    <row r="18" spans="1:14" ht="14.5" x14ac:dyDescent="0.35">
      <c r="A18" s="12" t="str">
        <f ca="1">IFERROR(__xludf.DUMMYFUNCTION("""COMPUTED_VALUE"""),"Ash, Christopher")</f>
        <v>Ash, Christopher</v>
      </c>
      <c r="B18" s="12" t="str">
        <f ca="1">IFERROR(__xludf.DUMMYFUNCTION("""COMPUTED_VALUE""")," Christopher Ash")</f>
        <v xml:space="preserve"> Christopher Ash</v>
      </c>
      <c r="C18" s="12" t="str">
        <f ca="1">IFERROR(__xludf.DUMMYFUNCTION("""COMPUTED_VALUE"""),"Zeal without Burnout")</f>
        <v>Zeal without Burnout</v>
      </c>
      <c r="D18" s="4"/>
      <c r="E18" s="12" t="str">
        <f ca="1">IFERROR(__xludf.DUMMYFUNCTION("""COMPUTED_VALUE"""),"Book")</f>
        <v>Book</v>
      </c>
      <c r="F18" s="12" t="str">
        <f ca="1">IFERROR(__xludf.DUMMYFUNCTION("""COMPUTED_VALUE"""),"Discipleship")</f>
        <v>Discipleship</v>
      </c>
      <c r="G18" s="12"/>
      <c r="H18" s="12"/>
      <c r="I18" s="12"/>
      <c r="J18" s="12" t="str">
        <f ca="1">IFERROR(__xludf.DUMMYFUNCTION("""COMPUTED_VALUE"""),"Church Leaders")</f>
        <v>Church Leaders</v>
      </c>
      <c r="K18" s="13">
        <f ca="1">IFERROR(__xludf.DUMMYFUNCTION("""COMPUTED_VALUE"""),42476)</f>
        <v>42476</v>
      </c>
      <c r="L18" s="12"/>
      <c r="M18" s="12"/>
      <c r="N18" s="12" t="str">
        <f ca="1">IFERROR(__xludf.DUMMYFUNCTION("""COMPUTED_VALUE"""),"Table1")</f>
        <v>Table1</v>
      </c>
    </row>
    <row r="19" spans="1:14" ht="14.5" x14ac:dyDescent="0.35">
      <c r="A19" s="12" t="str">
        <f ca="1">IFERROR(__xludf.DUMMYFUNCTION("""COMPUTED_VALUE"""),"Ash, Christopher; Midgley, Steve")</f>
        <v>Ash, Christopher; Midgley, Steve</v>
      </c>
      <c r="B19" s="12" t="str">
        <f ca="1">IFERROR(__xludf.DUMMYFUNCTION("""COMPUTED_VALUE""")," Christopher Ash; Steve Midgley")</f>
        <v xml:space="preserve"> Christopher Ash; Steve Midgley</v>
      </c>
      <c r="C19" s="12" t="str">
        <f ca="1">IFERROR(__xludf.DUMMYFUNCTION("""COMPUTED_VALUE"""),"The Heart of Anger: How the Bible Transforms Anger in Our Understanding and Experience")</f>
        <v>The Heart of Anger: How the Bible Transforms Anger in Our Understanding and Experience</v>
      </c>
      <c r="D19" s="4"/>
      <c r="E19" s="12" t="str">
        <f ca="1">IFERROR(__xludf.DUMMYFUNCTION("""COMPUTED_VALUE"""),"Book")</f>
        <v>Book</v>
      </c>
      <c r="F19" s="12" t="str">
        <f ca="1">IFERROR(__xludf.DUMMYFUNCTION("""COMPUTED_VALUE"""),"Understanding Mankind")</f>
        <v>Understanding Mankind</v>
      </c>
      <c r="G19" s="12"/>
      <c r="H19" s="12"/>
      <c r="I19" s="12"/>
      <c r="J19" s="12" t="str">
        <f ca="1">IFERROR(__xludf.DUMMYFUNCTION("""COMPUTED_VALUE"""),"Anger")</f>
        <v>Anger</v>
      </c>
      <c r="K19" s="13">
        <f ca="1">IFERROR(__xludf.DUMMYFUNCTION("""COMPUTED_VALUE"""),44423)</f>
        <v>44423</v>
      </c>
      <c r="L19" s="12"/>
      <c r="M19" s="12"/>
      <c r="N19" s="12" t="str">
        <f ca="1">IFERROR(__xludf.DUMMYFUNCTION("""COMPUTED_VALUE"""),"Table1")</f>
        <v>Table1</v>
      </c>
    </row>
    <row r="20" spans="1:14" ht="14.5" x14ac:dyDescent="0.35">
      <c r="A20" s="12" t="str">
        <f ca="1">IFERROR(__xludf.DUMMYFUNCTION("""COMPUTED_VALUE"""),"Aylward, Gladys")</f>
        <v>Aylward, Gladys</v>
      </c>
      <c r="B20" s="12" t="str">
        <f ca="1">IFERROR(__xludf.DUMMYFUNCTION("""COMPUTED_VALUE""")," Gladys Aylward")</f>
        <v xml:space="preserve"> Gladys Aylward</v>
      </c>
      <c r="C20" s="12" t="str">
        <f ca="1">IFERROR(__xludf.DUMMYFUNCTION("""COMPUTED_VALUE"""),"Gladys Aylward: The Little Woman")</f>
        <v>Gladys Aylward: The Little Woman</v>
      </c>
      <c r="D20" s="4"/>
      <c r="E20" s="12" t="str">
        <f ca="1">IFERROR(__xludf.DUMMYFUNCTION("""COMPUTED_VALUE"""),"Book")</f>
        <v>Book</v>
      </c>
      <c r="F20" s="12" t="str">
        <f ca="1">IFERROR(__xludf.DUMMYFUNCTION("""COMPUTED_VALUE"""),"Biography")</f>
        <v>Biography</v>
      </c>
      <c r="G20" s="12"/>
      <c r="H20" s="12"/>
      <c r="I20" s="12"/>
      <c r="J20" s="12" t="str">
        <f ca="1">IFERROR(__xludf.DUMMYFUNCTION("""COMPUTED_VALUE"""),"Missions")</f>
        <v>Missions</v>
      </c>
      <c r="K20" s="13">
        <f ca="1">IFERROR(__xludf.DUMMYFUNCTION("""COMPUTED_VALUE"""),40034)</f>
        <v>40034</v>
      </c>
      <c r="L20" s="12"/>
      <c r="M20" s="12"/>
      <c r="N20" s="12" t="str">
        <f ca="1">IFERROR(__xludf.DUMMYFUNCTION("""COMPUTED_VALUE"""),"Table1")</f>
        <v>Table1</v>
      </c>
    </row>
    <row r="21" spans="1:14" ht="15.75" customHeight="1" x14ac:dyDescent="0.35">
      <c r="A21" s="12" t="str">
        <f ca="1">IFERROR(__xludf.DUMMYFUNCTION("""COMPUTED_VALUE"""),"Bainton, Roland H")</f>
        <v>Bainton, Roland H</v>
      </c>
      <c r="B21" s="12" t="str">
        <f ca="1">IFERROR(__xludf.DUMMYFUNCTION("""COMPUTED_VALUE""")," Roland H Bainton")</f>
        <v xml:space="preserve"> Roland H Bainton</v>
      </c>
      <c r="C21" s="12" t="str">
        <f ca="1">IFERROR(__xludf.DUMMYFUNCTION("""COMPUTED_VALUE"""),"Here I Stand: A Life of Martin Luther")</f>
        <v>Here I Stand: A Life of Martin Luther</v>
      </c>
      <c r="D21" s="4"/>
      <c r="E21" s="12" t="str">
        <f ca="1">IFERROR(__xludf.DUMMYFUNCTION("""COMPUTED_VALUE"""),"Book")</f>
        <v>Book</v>
      </c>
      <c r="F21" s="12" t="str">
        <f ca="1">IFERROR(__xludf.DUMMYFUNCTION("""COMPUTED_VALUE"""),"Biography")</f>
        <v>Biography</v>
      </c>
      <c r="G21" s="12"/>
      <c r="H21" s="12"/>
      <c r="I21" s="12"/>
      <c r="J21" s="12"/>
      <c r="K21" s="13">
        <f ca="1">IFERROR(__xludf.DUMMYFUNCTION("""COMPUTED_VALUE"""),40034)</f>
        <v>40034</v>
      </c>
      <c r="L21" s="12"/>
      <c r="M21" s="12"/>
      <c r="N21" s="12" t="str">
        <f ca="1">IFERROR(__xludf.DUMMYFUNCTION("""COMPUTED_VALUE"""),"Table1")</f>
        <v>Table1</v>
      </c>
    </row>
    <row r="22" spans="1:14" ht="15.75" customHeight="1" x14ac:dyDescent="0.35">
      <c r="A22" s="12" t="str">
        <f ca="1">IFERROR(__xludf.DUMMYFUNCTION("""COMPUTED_VALUE"""),"Baldwin, Lindley")</f>
        <v>Baldwin, Lindley</v>
      </c>
      <c r="B22" s="12" t="str">
        <f ca="1">IFERROR(__xludf.DUMMYFUNCTION("""COMPUTED_VALUE""")," Lindley Baldwin")</f>
        <v xml:space="preserve"> Lindley Baldwin</v>
      </c>
      <c r="C22" s="12" t="str">
        <f ca="1">IFERROR(__xludf.DUMMYFUNCTION("""COMPUTED_VALUE"""),"Samuel Morris")</f>
        <v>Samuel Morris</v>
      </c>
      <c r="D22" s="4"/>
      <c r="E22" s="12" t="str">
        <f ca="1">IFERROR(__xludf.DUMMYFUNCTION("""COMPUTED_VALUE"""),"Book")</f>
        <v>Book</v>
      </c>
      <c r="F22" s="12" t="str">
        <f ca="1">IFERROR(__xludf.DUMMYFUNCTION("""COMPUTED_VALUE"""),"Biography")</f>
        <v>Biography</v>
      </c>
      <c r="G22" s="12"/>
      <c r="H22" s="12"/>
      <c r="I22" s="12"/>
      <c r="J22" s="12"/>
      <c r="K22" s="13">
        <f ca="1">IFERROR(__xludf.DUMMYFUNCTION("""COMPUTED_VALUE"""),40034)</f>
        <v>40034</v>
      </c>
      <c r="L22" s="12"/>
      <c r="M22" s="12"/>
      <c r="N22" s="12" t="str">
        <f ca="1">IFERROR(__xludf.DUMMYFUNCTION("""COMPUTED_VALUE"""),"Table1")</f>
        <v>Table1</v>
      </c>
    </row>
    <row r="23" spans="1:14" ht="15.75" customHeight="1" x14ac:dyDescent="0.35">
      <c r="A23" s="12" t="str">
        <f ca="1">IFERROR(__xludf.DUMMYFUNCTION("""COMPUTED_VALUE"""),"Banner of Trust")</f>
        <v>Banner of Trust</v>
      </c>
      <c r="B23" s="12" t="str">
        <f ca="1">IFERROR(__xludf.DUMMYFUNCTION("""COMPUTED_VALUE"""),"Banner of Trust")</f>
        <v>Banner of Trust</v>
      </c>
      <c r="C23" s="12" t="str">
        <f ca="1">IFERROR(__xludf.DUMMYFUNCTION("""COMPUTED_VALUE"""),"Five Pioneer Missionaries")</f>
        <v>Five Pioneer Missionaries</v>
      </c>
      <c r="D23" s="4"/>
      <c r="E23" s="12" t="str">
        <f ca="1">IFERROR(__xludf.DUMMYFUNCTION("""COMPUTED_VALUE"""),"Book")</f>
        <v>Book</v>
      </c>
      <c r="F23" s="12" t="str">
        <f ca="1">IFERROR(__xludf.DUMMYFUNCTION("""COMPUTED_VALUE"""),"Biography")</f>
        <v>Biography</v>
      </c>
      <c r="G23" s="12"/>
      <c r="H23" s="12"/>
      <c r="I23" s="12"/>
      <c r="J23" s="12" t="str">
        <f ca="1">IFERROR(__xludf.DUMMYFUNCTION("""COMPUTED_VALUE"""),"Missions")</f>
        <v>Missions</v>
      </c>
      <c r="K23" s="13">
        <f ca="1">IFERROR(__xludf.DUMMYFUNCTION("""COMPUTED_VALUE"""),40034)</f>
        <v>40034</v>
      </c>
      <c r="L23" s="12"/>
      <c r="M23" s="12"/>
      <c r="N23" s="12" t="str">
        <f ca="1">IFERROR(__xludf.DUMMYFUNCTION("""COMPUTED_VALUE"""),"Table1")</f>
        <v>Table1</v>
      </c>
    </row>
    <row r="24" spans="1:14" ht="15.75" customHeight="1" x14ac:dyDescent="0.35">
      <c r="A24" s="12" t="str">
        <f ca="1">IFERROR(__xludf.DUMMYFUNCTION("""COMPUTED_VALUE"""),"Barr, Adam T.")</f>
        <v>Barr, Adam T.</v>
      </c>
      <c r="B24" s="12" t="str">
        <f ca="1">IFERROR(__xludf.DUMMYFUNCTION("""COMPUTED_VALUE""")," Adam T. Barr")</f>
        <v xml:space="preserve"> Adam T. Barr</v>
      </c>
      <c r="C24" s="12" t="str">
        <f ca="1">IFERROR(__xludf.DUMMYFUNCTION("""COMPUTED_VALUE"""),"Compassion without Compromise")</f>
        <v>Compassion without Compromise</v>
      </c>
      <c r="D24" s="4" t="str">
        <f ca="1">IFERROR(__xludf.DUMMYFUNCTION("""COMPUTED_VALUE"""),"Citlau, Ron")</f>
        <v>Citlau, Ron</v>
      </c>
      <c r="E24" s="12" t="str">
        <f ca="1">IFERROR(__xludf.DUMMYFUNCTION("""COMPUTED_VALUE"""),"Book")</f>
        <v>Book</v>
      </c>
      <c r="F24" s="12" t="str">
        <f ca="1">IFERROR(__xludf.DUMMYFUNCTION("""COMPUTED_VALUE"""),"Understanding Mankind")</f>
        <v>Understanding Mankind</v>
      </c>
      <c r="G24" s="12"/>
      <c r="H24" s="12"/>
      <c r="I24" s="12"/>
      <c r="J24" s="12"/>
      <c r="K24" s="13">
        <f ca="1">IFERROR(__xludf.DUMMYFUNCTION("""COMPUTED_VALUE"""),42139)</f>
        <v>42139</v>
      </c>
      <c r="L24" s="12"/>
      <c r="M24" s="12"/>
      <c r="N24" s="12" t="str">
        <f ca="1">IFERROR(__xludf.DUMMYFUNCTION("""COMPUTED_VALUE"""),"Table1")</f>
        <v>Table1</v>
      </c>
    </row>
    <row r="25" spans="1:14" ht="15.75" customHeight="1" x14ac:dyDescent="0.35">
      <c r="A25" s="12" t="str">
        <f ca="1">IFERROR(__xludf.DUMMYFUNCTION("""COMPUTED_VALUE"""),"Barret, Ethel")</f>
        <v>Barret, Ethel</v>
      </c>
      <c r="B25" s="12" t="str">
        <f ca="1">IFERROR(__xludf.DUMMYFUNCTION("""COMPUTED_VALUE""")," Ethel Barret")</f>
        <v xml:space="preserve"> Ethel Barret</v>
      </c>
      <c r="C25" s="12" t="str">
        <f ca="1">IFERROR(__xludf.DUMMYFUNCTION("""COMPUTED_VALUE"""),"John Welch: The Man Who Couldn't Be Stopped")</f>
        <v>John Welch: The Man Who Couldn't Be Stopped</v>
      </c>
      <c r="D25" s="4" t="str">
        <f ca="1">IFERROR(__xludf.DUMMYFUNCTION("""COMPUTED_VALUE"""),"Trailblazers")</f>
        <v>Trailblazers</v>
      </c>
      <c r="E25" s="12" t="str">
        <f ca="1">IFERROR(__xludf.DUMMYFUNCTION("""COMPUTED_VALUE"""),"Book")</f>
        <v>Book</v>
      </c>
      <c r="F25" s="12" t="str">
        <f ca="1">IFERROR(__xludf.DUMMYFUNCTION("""COMPUTED_VALUE"""),"Children")</f>
        <v>Children</v>
      </c>
      <c r="G25" s="12"/>
      <c r="H25" s="12"/>
      <c r="I25" s="12"/>
      <c r="J25" s="12"/>
      <c r="K25" s="13">
        <f ca="1">IFERROR(__xludf.DUMMYFUNCTION("""COMPUTED_VALUE"""),42511)</f>
        <v>42511</v>
      </c>
      <c r="L25" s="12"/>
      <c r="M25" s="12"/>
      <c r="N25" s="12" t="str">
        <f ca="1">IFERROR(__xludf.DUMMYFUNCTION("""COMPUTED_VALUE"""),"Table1")</f>
        <v>Table1</v>
      </c>
    </row>
    <row r="26" spans="1:14" ht="15.75" customHeight="1" x14ac:dyDescent="0.35">
      <c r="A26" s="12" t="str">
        <f ca="1">IFERROR(__xludf.DUMMYFUNCTION("""COMPUTED_VALUE"""),"Barrett, Matthew")</f>
        <v>Barrett, Matthew</v>
      </c>
      <c r="B26" s="12" t="str">
        <f ca="1">IFERROR(__xludf.DUMMYFUNCTION("""COMPUTED_VALUE""")," Matthew Barrett")</f>
        <v xml:space="preserve"> Matthew Barrett</v>
      </c>
      <c r="C26" s="12" t="str">
        <f ca="1">IFERROR(__xludf.DUMMYFUNCTION("""COMPUTED_VALUE"""),"God's Word Alone: The Authority of Scripture")</f>
        <v>God's Word Alone: The Authority of Scripture</v>
      </c>
      <c r="D26" s="4" t="str">
        <f ca="1">IFERROR(__xludf.DUMMYFUNCTION("""COMPUTED_VALUE"""),"5 Solas")</f>
        <v>5 Solas</v>
      </c>
      <c r="E26" s="12" t="str">
        <f ca="1">IFERROR(__xludf.DUMMYFUNCTION("""COMPUTED_VALUE"""),"Book")</f>
        <v>Book</v>
      </c>
      <c r="F26" s="12" t="str">
        <f ca="1">IFERROR(__xludf.DUMMYFUNCTION("""COMPUTED_VALUE"""),"Theology")</f>
        <v>Theology</v>
      </c>
      <c r="G26" s="12" t="str">
        <f ca="1">IFERROR(__xludf.DUMMYFUNCTION("""COMPUTED_VALUE"""),"Bible")</f>
        <v>Bible</v>
      </c>
      <c r="H26" s="12"/>
      <c r="I26" s="12"/>
      <c r="J26" s="12" t="str">
        <f ca="1">IFERROR(__xludf.DUMMYFUNCTION("""COMPUTED_VALUE"""),"History")</f>
        <v>History</v>
      </c>
      <c r="K26" s="13">
        <f ca="1">IFERROR(__xludf.DUMMYFUNCTION("""COMPUTED_VALUE"""),43095)</f>
        <v>43095</v>
      </c>
      <c r="L26" s="12" t="str">
        <f ca="1">IFERROR(__xludf.DUMMYFUNCTION("""COMPUTED_VALUE""")," ")</f>
        <v xml:space="preserve"> </v>
      </c>
      <c r="M26" s="12"/>
      <c r="N26" s="12" t="str">
        <f ca="1">IFERROR(__xludf.DUMMYFUNCTION("""COMPUTED_VALUE"""),"Table1")</f>
        <v>Table1</v>
      </c>
    </row>
    <row r="27" spans="1:14" ht="15.75" customHeight="1" x14ac:dyDescent="0.35">
      <c r="A27" s="12" t="str">
        <f ca="1">IFERROR(__xludf.DUMMYFUNCTION("""COMPUTED_VALUE"""),"Barrett, Matthew")</f>
        <v>Barrett, Matthew</v>
      </c>
      <c r="B27" s="12" t="str">
        <f ca="1">IFERROR(__xludf.DUMMYFUNCTION("""COMPUTED_VALUE""")," Matthew Barrett")</f>
        <v xml:space="preserve"> Matthew Barrett</v>
      </c>
      <c r="C27" s="12" t="str">
        <f ca="1">IFERROR(__xludf.DUMMYFUNCTION("""COMPUTED_VALUE"""),"None Greater")</f>
        <v>None Greater</v>
      </c>
      <c r="D27" s="4"/>
      <c r="E27" s="12" t="str">
        <f ca="1">IFERROR(__xludf.DUMMYFUNCTION("""COMPUTED_VALUE"""),"Book")</f>
        <v>Book</v>
      </c>
      <c r="F27" s="12" t="str">
        <f ca="1">IFERROR(__xludf.DUMMYFUNCTION("""COMPUTED_VALUE"""),"Theology")</f>
        <v>Theology</v>
      </c>
      <c r="G27" s="12"/>
      <c r="H27" s="12"/>
      <c r="I27" s="12"/>
      <c r="J27" s="12"/>
      <c r="K27" s="13">
        <f ca="1">IFERROR(__xludf.DUMMYFUNCTION("""COMPUTED_VALUE"""),43704)</f>
        <v>43704</v>
      </c>
      <c r="L27" s="12"/>
      <c r="M27" s="12"/>
      <c r="N27" s="12" t="str">
        <f ca="1">IFERROR(__xludf.DUMMYFUNCTION("""COMPUTED_VALUE"""),"Table1")</f>
        <v>Table1</v>
      </c>
    </row>
    <row r="28" spans="1:14" ht="15.75" customHeight="1" x14ac:dyDescent="0.35">
      <c r="A28" s="12" t="str">
        <f ca="1">IFERROR(__xludf.DUMMYFUNCTION("""COMPUTED_VALUE"""),"Barrett, Matthew")</f>
        <v>Barrett, Matthew</v>
      </c>
      <c r="B28" s="12" t="str">
        <f ca="1">IFERROR(__xludf.DUMMYFUNCTION("""COMPUTED_VALUE""")," Matthew Barrett")</f>
        <v xml:space="preserve"> Matthew Barrett</v>
      </c>
      <c r="C28" s="12" t="str">
        <f ca="1">IFERROR(__xludf.DUMMYFUNCTION("""COMPUTED_VALUE"""),"Owen on the Christian Life")</f>
        <v>Owen on the Christian Life</v>
      </c>
      <c r="D28" s="4" t="str">
        <f ca="1">IFERROR(__xludf.DUMMYFUNCTION("""COMPUTED_VALUE"""),"Haykin")</f>
        <v>Haykin</v>
      </c>
      <c r="E28" s="12" t="str">
        <f ca="1">IFERROR(__xludf.DUMMYFUNCTION("""COMPUTED_VALUE"""),"Book")</f>
        <v>Book</v>
      </c>
      <c r="F28" s="12" t="str">
        <f ca="1">IFERROR(__xludf.DUMMYFUNCTION("""COMPUTED_VALUE"""),"Discipleship")</f>
        <v>Discipleship</v>
      </c>
      <c r="G28" s="12"/>
      <c r="H28" s="12"/>
      <c r="I28" s="12" t="str">
        <f ca="1">IFERROR(__xludf.DUMMYFUNCTION("""COMPUTED_VALUE"""),"Puritans")</f>
        <v>Puritans</v>
      </c>
      <c r="J28" s="12"/>
      <c r="K28" s="13">
        <f ca="1">IFERROR(__xludf.DUMMYFUNCTION("""COMPUTED_VALUE"""),42353)</f>
        <v>42353</v>
      </c>
      <c r="L28" s="12"/>
      <c r="M28" s="12"/>
      <c r="N28" s="12" t="str">
        <f ca="1">IFERROR(__xludf.DUMMYFUNCTION("""COMPUTED_VALUE"""),"Table1")</f>
        <v>Table1</v>
      </c>
    </row>
    <row r="29" spans="1:14" ht="15.75" customHeight="1" x14ac:dyDescent="0.35">
      <c r="A29" s="12" t="str">
        <f ca="1">IFERROR(__xludf.DUMMYFUNCTION("""COMPUTED_VALUE"""),"Barrett, Matthew")</f>
        <v>Barrett, Matthew</v>
      </c>
      <c r="B29" s="12" t="str">
        <f ca="1">IFERROR(__xludf.DUMMYFUNCTION("""COMPUTED_VALUE""")," Matthew Barrett")</f>
        <v xml:space="preserve"> Matthew Barrett</v>
      </c>
      <c r="C29" s="12" t="str">
        <f ca="1">IFERROR(__xludf.DUMMYFUNCTION("""COMPUTED_VALUE"""),"Salvation by Grace")</f>
        <v>Salvation by Grace</v>
      </c>
      <c r="D29" s="4"/>
      <c r="E29" s="12" t="str">
        <f ca="1">IFERROR(__xludf.DUMMYFUNCTION("""COMPUTED_VALUE"""),"Book")</f>
        <v>Book</v>
      </c>
      <c r="F29" s="12" t="str">
        <f ca="1">IFERROR(__xludf.DUMMYFUNCTION("""COMPUTED_VALUE"""),"Theology")</f>
        <v>Theology</v>
      </c>
      <c r="G29" s="12"/>
      <c r="H29" s="12"/>
      <c r="I29" s="12"/>
      <c r="J29" s="12"/>
      <c r="K29" s="13"/>
      <c r="L29" s="12"/>
      <c r="M29" s="12"/>
      <c r="N29" s="12" t="str">
        <f ca="1">IFERROR(__xludf.DUMMYFUNCTION("""COMPUTED_VALUE"""),"Table1")</f>
        <v>Table1</v>
      </c>
    </row>
    <row r="30" spans="1:14" ht="15.75" customHeight="1" x14ac:dyDescent="0.35">
      <c r="A30" s="12" t="str">
        <f ca="1">IFERROR(__xludf.DUMMYFUNCTION("""COMPUTED_VALUE"""),"Barry, Rick")</f>
        <v>Barry, Rick</v>
      </c>
      <c r="B30" s="12" t="str">
        <f ca="1">IFERROR(__xludf.DUMMYFUNCTION("""COMPUTED_VALUE""")," Rick Barry")</f>
        <v xml:space="preserve"> Rick Barry</v>
      </c>
      <c r="C30" s="12" t="str">
        <f ca="1">IFERROR(__xludf.DUMMYFUNCTION("""COMPUTED_VALUE"""),"Gunner's Run")</f>
        <v>Gunner's Run</v>
      </c>
      <c r="D30" s="4"/>
      <c r="E30" s="12" t="str">
        <f ca="1">IFERROR(__xludf.DUMMYFUNCTION("""COMPUTED_VALUE"""),"Book")</f>
        <v>Book</v>
      </c>
      <c r="F30" s="12" t="str">
        <f ca="1">IFERROR(__xludf.DUMMYFUNCTION("""COMPUTED_VALUE"""),"Children")</f>
        <v>Children</v>
      </c>
      <c r="G30" s="12"/>
      <c r="H30" s="12"/>
      <c r="I30" s="12"/>
      <c r="J30" s="12"/>
      <c r="K30" s="13">
        <f ca="1">IFERROR(__xludf.DUMMYFUNCTION("""COMPUTED_VALUE"""),41164)</f>
        <v>41164</v>
      </c>
      <c r="L30" s="12"/>
      <c r="M30" s="12"/>
      <c r="N30" s="12" t="str">
        <f ca="1">IFERROR(__xludf.DUMMYFUNCTION("""COMPUTED_VALUE"""),"Table1")</f>
        <v>Table1</v>
      </c>
    </row>
    <row r="31" spans="1:14" ht="15.75" customHeight="1" x14ac:dyDescent="0.35">
      <c r="A31" s="12" t="str">
        <f ca="1">IFERROR(__xludf.DUMMYFUNCTION("""COMPUTED_VALUE"""),"Baxter, Richard")</f>
        <v>Baxter, Richard</v>
      </c>
      <c r="B31" s="12" t="str">
        <f ca="1">IFERROR(__xludf.DUMMYFUNCTION("""COMPUTED_VALUE""")," Richard Baxter")</f>
        <v xml:space="preserve"> Richard Baxter</v>
      </c>
      <c r="C31" s="12" t="str">
        <f ca="1">IFERROR(__xludf.DUMMYFUNCTION("""COMPUTED_VALUE"""),"Depression, Anxiety, and the Christian Life")</f>
        <v>Depression, Anxiety, and the Christian Life</v>
      </c>
      <c r="D31" s="4" t="str">
        <f ca="1">IFERROR(__xludf.DUMMYFUNCTION("""COMPUTED_VALUE"""),"Michael S. Lundy, J. I. Packer")</f>
        <v>Michael S. Lundy, J. I. Packer</v>
      </c>
      <c r="E31" s="12" t="str">
        <f ca="1">IFERROR(__xludf.DUMMYFUNCTION("""COMPUTED_VALUE"""),"Book")</f>
        <v>Book</v>
      </c>
      <c r="F31" s="12" t="str">
        <f ca="1">IFERROR(__xludf.DUMMYFUNCTION("""COMPUTED_VALUE"""),"Understanding Mankind")</f>
        <v>Understanding Mankind</v>
      </c>
      <c r="G31" s="12"/>
      <c r="H31" s="12"/>
      <c r="I31" s="12"/>
      <c r="J31" s="12" t="str">
        <f ca="1">IFERROR(__xludf.DUMMYFUNCTION("""COMPUTED_VALUE"""),"Depression")</f>
        <v>Depression</v>
      </c>
      <c r="K31" s="13"/>
      <c r="L31" s="12"/>
      <c r="M31" s="12"/>
      <c r="N31" s="12" t="str">
        <f ca="1">IFERROR(__xludf.DUMMYFUNCTION("""COMPUTED_VALUE"""),"Table1")</f>
        <v>Table1</v>
      </c>
    </row>
    <row r="32" spans="1:14" ht="15.75" customHeight="1" x14ac:dyDescent="0.35">
      <c r="A32" s="12" t="str">
        <f ca="1">IFERROR(__xludf.DUMMYFUNCTION("""COMPUTED_VALUE"""),"Beale and Carson, editors")</f>
        <v>Beale and Carson, editors</v>
      </c>
      <c r="B32" s="12" t="str">
        <f ca="1">IFERROR(__xludf.DUMMYFUNCTION("""COMPUTED_VALUE"""),"Beale and Carson, editors")</f>
        <v>Beale and Carson, editors</v>
      </c>
      <c r="C32" s="12" t="str">
        <f ca="1">IFERROR(__xludf.DUMMYFUNCTION("""COMPUTED_VALUE"""),"Commentary on the New Testament Use of the OT")</f>
        <v>Commentary on the New Testament Use of the OT</v>
      </c>
      <c r="D32" s="4"/>
      <c r="E32" s="12" t="str">
        <f ca="1">IFERROR(__xludf.DUMMYFUNCTION("""COMPUTED_VALUE"""),"Book")</f>
        <v>Book</v>
      </c>
      <c r="F32" s="12" t="str">
        <f ca="1">IFERROR(__xludf.DUMMYFUNCTION("""COMPUTED_VALUE"""),"Reference")</f>
        <v>Reference</v>
      </c>
      <c r="G32" s="12"/>
      <c r="H32" s="12"/>
      <c r="I32" s="12"/>
      <c r="J32" s="12"/>
      <c r="K32" s="13">
        <f ca="1">IFERROR(__xludf.DUMMYFUNCTION("""COMPUTED_VALUE"""),41346)</f>
        <v>41346</v>
      </c>
      <c r="L32" s="12"/>
      <c r="M32" s="12"/>
      <c r="N32" s="12" t="str">
        <f ca="1">IFERROR(__xludf.DUMMYFUNCTION("""COMPUTED_VALUE"""),"Table1")</f>
        <v>Table1</v>
      </c>
    </row>
    <row r="33" spans="1:14" ht="15.75" customHeight="1" x14ac:dyDescent="0.35">
      <c r="A33" s="12" t="str">
        <f ca="1">IFERROR(__xludf.DUMMYFUNCTION("""COMPUTED_VALUE"""),"Beale, David")</f>
        <v>Beale, David</v>
      </c>
      <c r="B33" s="12" t="str">
        <f ca="1">IFERROR(__xludf.DUMMYFUNCTION("""COMPUTED_VALUE""")," David Beale")</f>
        <v xml:space="preserve"> David Beale</v>
      </c>
      <c r="C33" s="12" t="str">
        <f ca="1">IFERROR(__xludf.DUMMYFUNCTION("""COMPUTED_VALUE"""),"A Pictorial History of Our English Bible")</f>
        <v>A Pictorial History of Our English Bible</v>
      </c>
      <c r="D33" s="4"/>
      <c r="E33" s="12" t="str">
        <f ca="1">IFERROR(__xludf.DUMMYFUNCTION("""COMPUTED_VALUE"""),"Book")</f>
        <v>Book</v>
      </c>
      <c r="F33" s="12" t="str">
        <f ca="1">IFERROR(__xludf.DUMMYFUNCTION("""COMPUTED_VALUE"""),"Bible")</f>
        <v>Bible</v>
      </c>
      <c r="G33" s="12"/>
      <c r="H33" s="12"/>
      <c r="I33" s="12"/>
      <c r="J33" s="12" t="str">
        <f ca="1">IFERROR(__xludf.DUMMYFUNCTION("""COMPUTED_VALUE"""),"History")</f>
        <v>History</v>
      </c>
      <c r="K33" s="13">
        <f ca="1">IFERROR(__xludf.DUMMYFUNCTION("""COMPUTED_VALUE"""),41287)</f>
        <v>41287</v>
      </c>
      <c r="L33" s="12"/>
      <c r="M33" s="12"/>
      <c r="N33" s="12" t="str">
        <f ca="1">IFERROR(__xludf.DUMMYFUNCTION("""COMPUTED_VALUE"""),"Table1")</f>
        <v>Table1</v>
      </c>
    </row>
    <row r="34" spans="1:14" ht="15.75" customHeight="1" x14ac:dyDescent="0.35">
      <c r="A34" s="12" t="str">
        <f ca="1">IFERROR(__xludf.DUMMYFUNCTION("""COMPUTED_VALUE"""),"Beeke, Joel")</f>
        <v>Beeke, Joel</v>
      </c>
      <c r="B34" s="12" t="str">
        <f ca="1">IFERROR(__xludf.DUMMYFUNCTION("""COMPUTED_VALUE""")," Joel Beeke")</f>
        <v xml:space="preserve"> Joel Beeke</v>
      </c>
      <c r="C34" s="12" t="str">
        <f ca="1">IFERROR(__xludf.DUMMYFUNCTION("""COMPUTED_VALUE"""),"Getting Back in the Race")</f>
        <v>Getting Back in the Race</v>
      </c>
      <c r="D34" s="4"/>
      <c r="E34" s="12" t="str">
        <f ca="1">IFERROR(__xludf.DUMMYFUNCTION("""COMPUTED_VALUE"""),"Book")</f>
        <v>Book</v>
      </c>
      <c r="F34" s="12" t="str">
        <f ca="1">IFERROR(__xludf.DUMMYFUNCTION("""COMPUTED_VALUE"""),"Discipleship")</f>
        <v>Discipleship</v>
      </c>
      <c r="G34" s="12"/>
      <c r="H34" s="12"/>
      <c r="I34" s="12"/>
      <c r="J34" s="12" t="str">
        <f ca="1">IFERROR(__xludf.DUMMYFUNCTION("""COMPUTED_VALUE"""),"Sin")</f>
        <v>Sin</v>
      </c>
      <c r="K34" s="13">
        <f ca="1">IFERROR(__xludf.DUMMYFUNCTION("""COMPUTED_VALUE"""),41560)</f>
        <v>41560</v>
      </c>
      <c r="L34" s="12"/>
      <c r="M34" s="12"/>
      <c r="N34" s="12" t="str">
        <f ca="1">IFERROR(__xludf.DUMMYFUNCTION("""COMPUTED_VALUE"""),"Table1")</f>
        <v>Table1</v>
      </c>
    </row>
    <row r="35" spans="1:14" ht="15.75" customHeight="1" x14ac:dyDescent="0.35">
      <c r="A35" s="12" t="str">
        <f ca="1">IFERROR(__xludf.DUMMYFUNCTION("""COMPUTED_VALUE"""),"Beeke, Joel R")</f>
        <v>Beeke, Joel R</v>
      </c>
      <c r="B35" s="12" t="str">
        <f ca="1">IFERROR(__xludf.DUMMYFUNCTION("""COMPUTED_VALUE""")," Joel R Beeke")</f>
        <v xml:space="preserve"> Joel R Beeke</v>
      </c>
      <c r="C35" s="12" t="str">
        <f ca="1">IFERROR(__xludf.DUMMYFUNCTION("""COMPUTED_VALUE"""),"Parenting by God's Promises")</f>
        <v>Parenting by God's Promises</v>
      </c>
      <c r="D35" s="4"/>
      <c r="E35" s="12" t="str">
        <f ca="1">IFERROR(__xludf.DUMMYFUNCTION("""COMPUTED_VALUE"""),"Book")</f>
        <v>Book</v>
      </c>
      <c r="F35" s="12" t="str">
        <f ca="1">IFERROR(__xludf.DUMMYFUNCTION("""COMPUTED_VALUE"""),"Understanding Mankind")</f>
        <v>Understanding Mankind</v>
      </c>
      <c r="G35" s="12"/>
      <c r="H35" s="12"/>
      <c r="I35" s="12" t="str">
        <f ca="1">IFERROR(__xludf.DUMMYFUNCTION("""COMPUTED_VALUE"""),"Parenting")</f>
        <v>Parenting</v>
      </c>
      <c r="J35" s="12" t="str">
        <f ca="1">IFERROR(__xludf.DUMMYFUNCTION("""COMPUTED_VALUE"""),"Parenting")</f>
        <v>Parenting</v>
      </c>
      <c r="K35" s="13">
        <f ca="1">IFERROR(__xludf.DUMMYFUNCTION("""COMPUTED_VALUE"""),40980)</f>
        <v>40980</v>
      </c>
      <c r="L35" s="12"/>
      <c r="M35" s="12"/>
      <c r="N35" s="12" t="str">
        <f ca="1">IFERROR(__xludf.DUMMYFUNCTION("""COMPUTED_VALUE"""),"Table1")</f>
        <v>Table1</v>
      </c>
    </row>
    <row r="36" spans="1:14" ht="15.75" customHeight="1" x14ac:dyDescent="0.35">
      <c r="A36" s="12" t="str">
        <f ca="1">IFERROR(__xludf.DUMMYFUNCTION("""COMPUTED_VALUE"""),"Beeke, Joel R and Diana Kleyn")</f>
        <v>Beeke, Joel R and Diana Kleyn</v>
      </c>
      <c r="B36" s="12" t="str">
        <f ca="1">IFERROR(__xludf.DUMMYFUNCTION("""COMPUTED_VALUE"""),"#N/A")</f>
        <v>#N/A</v>
      </c>
      <c r="C36" s="12" t="str">
        <f ca="1">IFERROR(__xludf.DUMMYFUNCTION("""COMPUTED_VALUE"""),"How God Sent a Dog to Save a Family")</f>
        <v>How God Sent a Dog to Save a Family</v>
      </c>
      <c r="D36" s="4"/>
      <c r="E36" s="12" t="str">
        <f ca="1">IFERROR(__xludf.DUMMYFUNCTION("""COMPUTED_VALUE"""),"Book")</f>
        <v>Book</v>
      </c>
      <c r="F36" s="12" t="str">
        <f ca="1">IFERROR(__xludf.DUMMYFUNCTION("""COMPUTED_VALUE"""),"Children")</f>
        <v>Children</v>
      </c>
      <c r="G36" s="12"/>
      <c r="H36" s="12"/>
      <c r="I36" s="12"/>
      <c r="J36" s="12"/>
      <c r="K36" s="13">
        <f ca="1">IFERROR(__xludf.DUMMYFUNCTION("""COMPUTED_VALUE"""),41041)</f>
        <v>41041</v>
      </c>
      <c r="L36" s="12"/>
      <c r="M36" s="12"/>
      <c r="N36" s="12" t="str">
        <f ca="1">IFERROR(__xludf.DUMMYFUNCTION("""COMPUTED_VALUE"""),"Table1")</f>
        <v>Table1</v>
      </c>
    </row>
    <row r="37" spans="1:14" ht="15.75" customHeight="1" x14ac:dyDescent="0.35">
      <c r="A37" s="12" t="str">
        <f ca="1">IFERROR(__xludf.DUMMYFUNCTION("""COMPUTED_VALUE"""),"Beeke, Joel R and Diana Kleyn")</f>
        <v>Beeke, Joel R and Diana Kleyn</v>
      </c>
      <c r="B37" s="12" t="str">
        <f ca="1">IFERROR(__xludf.DUMMYFUNCTION("""COMPUTED_VALUE"""),"#N/A")</f>
        <v>#N/A</v>
      </c>
      <c r="C37" s="12" t="str">
        <f ca="1">IFERROR(__xludf.DUMMYFUNCTION("""COMPUTED_VALUE"""),"How God Stopped the Pirates")</f>
        <v>How God Stopped the Pirates</v>
      </c>
      <c r="D37" s="4"/>
      <c r="E37" s="12" t="str">
        <f ca="1">IFERROR(__xludf.DUMMYFUNCTION("""COMPUTED_VALUE"""),"Book")</f>
        <v>Book</v>
      </c>
      <c r="F37" s="12" t="str">
        <f ca="1">IFERROR(__xludf.DUMMYFUNCTION("""COMPUTED_VALUE"""),"Children")</f>
        <v>Children</v>
      </c>
      <c r="G37" s="12"/>
      <c r="H37" s="12"/>
      <c r="I37" s="12"/>
      <c r="J37" s="12"/>
      <c r="K37" s="13">
        <f ca="1">IFERROR(__xludf.DUMMYFUNCTION("""COMPUTED_VALUE"""),41044)</f>
        <v>41044</v>
      </c>
      <c r="L37" s="12"/>
      <c r="M37" s="12"/>
      <c r="N37" s="12" t="str">
        <f ca="1">IFERROR(__xludf.DUMMYFUNCTION("""COMPUTED_VALUE"""),"Table1")</f>
        <v>Table1</v>
      </c>
    </row>
    <row r="38" spans="1:14" ht="15.75" customHeight="1" x14ac:dyDescent="0.35">
      <c r="A38" s="12" t="str">
        <f ca="1">IFERROR(__xludf.DUMMYFUNCTION("""COMPUTED_VALUE"""),"Beeke, Joel R and Diana Kleyn")</f>
        <v>Beeke, Joel R and Diana Kleyn</v>
      </c>
      <c r="B38" s="12" t="str">
        <f ca="1">IFERROR(__xludf.DUMMYFUNCTION("""COMPUTED_VALUE"""),"#N/A")</f>
        <v>#N/A</v>
      </c>
      <c r="C38" s="12" t="str">
        <f ca="1">IFERROR(__xludf.DUMMYFUNCTION("""COMPUTED_VALUE"""),"How God Used a Drought and an Umbrella")</f>
        <v>How God Used a Drought and an Umbrella</v>
      </c>
      <c r="D38" s="4"/>
      <c r="E38" s="12" t="str">
        <f ca="1">IFERROR(__xludf.DUMMYFUNCTION("""COMPUTED_VALUE"""),"Book")</f>
        <v>Book</v>
      </c>
      <c r="F38" s="12" t="str">
        <f ca="1">IFERROR(__xludf.DUMMYFUNCTION("""COMPUTED_VALUE"""),"Children")</f>
        <v>Children</v>
      </c>
      <c r="G38" s="12"/>
      <c r="H38" s="12"/>
      <c r="I38" s="12"/>
      <c r="J38" s="12"/>
      <c r="K38" s="13">
        <f ca="1">IFERROR(__xludf.DUMMYFUNCTION("""COMPUTED_VALUE"""),41042)</f>
        <v>41042</v>
      </c>
      <c r="L38" s="12"/>
      <c r="M38" s="12"/>
      <c r="N38" s="12" t="str">
        <f ca="1">IFERROR(__xludf.DUMMYFUNCTION("""COMPUTED_VALUE"""),"Table1")</f>
        <v>Table1</v>
      </c>
    </row>
    <row r="39" spans="1:14" ht="15.75" customHeight="1" x14ac:dyDescent="0.35">
      <c r="A39" s="12" t="str">
        <f ca="1">IFERROR(__xludf.DUMMYFUNCTION("""COMPUTED_VALUE"""),"Beeke, Joel R and Diana Kleyn")</f>
        <v>Beeke, Joel R and Diana Kleyn</v>
      </c>
      <c r="B39" s="12" t="str">
        <f ca="1">IFERROR(__xludf.DUMMYFUNCTION("""COMPUTED_VALUE"""),"#N/A")</f>
        <v>#N/A</v>
      </c>
      <c r="C39" s="12" t="str">
        <f ca="1">IFERROR(__xludf.DUMMYFUNCTION("""COMPUTED_VALUE"""),"How God Used a Snowdrift")</f>
        <v>How God Used a Snowdrift</v>
      </c>
      <c r="D39" s="4"/>
      <c r="E39" s="12" t="str">
        <f ca="1">IFERROR(__xludf.DUMMYFUNCTION("""COMPUTED_VALUE"""),"Book")</f>
        <v>Book</v>
      </c>
      <c r="F39" s="12" t="str">
        <f ca="1">IFERROR(__xludf.DUMMYFUNCTION("""COMPUTED_VALUE"""),"Children")</f>
        <v>Children</v>
      </c>
      <c r="G39" s="12"/>
      <c r="H39" s="12"/>
      <c r="I39" s="12"/>
      <c r="J39" s="12"/>
      <c r="K39" s="13">
        <f ca="1">IFERROR(__xludf.DUMMYFUNCTION("""COMPUTED_VALUE"""),41043)</f>
        <v>41043</v>
      </c>
      <c r="L39" s="12"/>
      <c r="M39" s="12"/>
      <c r="N39" s="12" t="str">
        <f ca="1">IFERROR(__xludf.DUMMYFUNCTION("""COMPUTED_VALUE"""),"Table1")</f>
        <v>Table1</v>
      </c>
    </row>
    <row r="40" spans="1:14" ht="15.75" customHeight="1" x14ac:dyDescent="0.35">
      <c r="A40" s="12" t="str">
        <f ca="1">IFERROR(__xludf.DUMMYFUNCTION("""COMPUTED_VALUE"""),"Beeke, Joel R and Diana Kleyn")</f>
        <v>Beeke, Joel R and Diana Kleyn</v>
      </c>
      <c r="B40" s="12" t="str">
        <f ca="1">IFERROR(__xludf.DUMMYFUNCTION("""COMPUTED_VALUE"""),"#N/A")</f>
        <v>#N/A</v>
      </c>
      <c r="C40" s="12" t="str">
        <f ca="1">IFERROR(__xludf.DUMMYFUNCTION("""COMPUTED_VALUE"""),"How God Used a Thunderstorm")</f>
        <v>How God Used a Thunderstorm</v>
      </c>
      <c r="D40" s="4"/>
      <c r="E40" s="12" t="str">
        <f ca="1">IFERROR(__xludf.DUMMYFUNCTION("""COMPUTED_VALUE"""),"Book")</f>
        <v>Book</v>
      </c>
      <c r="F40" s="12" t="str">
        <f ca="1">IFERROR(__xludf.DUMMYFUNCTION("""COMPUTED_VALUE"""),"Children")</f>
        <v>Children</v>
      </c>
      <c r="G40" s="12"/>
      <c r="H40" s="12"/>
      <c r="I40" s="12"/>
      <c r="J40" s="12"/>
      <c r="K40" s="13">
        <f ca="1">IFERROR(__xludf.DUMMYFUNCTION("""COMPUTED_VALUE"""),41045)</f>
        <v>41045</v>
      </c>
      <c r="L40" s="12"/>
      <c r="M40" s="12"/>
      <c r="N40" s="12" t="str">
        <f ca="1">IFERROR(__xludf.DUMMYFUNCTION("""COMPUTED_VALUE"""),"Table1")</f>
        <v>Table1</v>
      </c>
    </row>
    <row r="41" spans="1:14" ht="15.75" customHeight="1" x14ac:dyDescent="0.35">
      <c r="A41" s="12" t="str">
        <f ca="1">IFERROR(__xludf.DUMMYFUNCTION("""COMPUTED_VALUE"""),"Benne, Robert")</f>
        <v>Benne, Robert</v>
      </c>
      <c r="B41" s="12" t="str">
        <f ca="1">IFERROR(__xludf.DUMMYFUNCTION("""COMPUTED_VALUE""")," Robert Benne")</f>
        <v xml:space="preserve"> Robert Benne</v>
      </c>
      <c r="C41" s="12" t="str">
        <f ca="1">IFERROR(__xludf.DUMMYFUNCTION("""COMPUTED_VALUE"""),"Good and Bad Ways to Think About Religion and Politics")</f>
        <v>Good and Bad Ways to Think About Religion and Politics</v>
      </c>
      <c r="D41" s="4"/>
      <c r="E41" s="12" t="str">
        <f ca="1">IFERROR(__xludf.DUMMYFUNCTION("""COMPUTED_VALUE"""),"Book")</f>
        <v>Book</v>
      </c>
      <c r="F41" s="12" t="str">
        <f ca="1">IFERROR(__xludf.DUMMYFUNCTION("""COMPUTED_VALUE"""),"Worldview")</f>
        <v>Worldview</v>
      </c>
      <c r="G41" s="12"/>
      <c r="H41" s="12"/>
      <c r="I41" s="12"/>
      <c r="J41" s="12" t="str">
        <f ca="1">IFERROR(__xludf.DUMMYFUNCTION("""COMPUTED_VALUE"""),"Politics")</f>
        <v>Politics</v>
      </c>
      <c r="K41" s="13" t="str">
        <f ca="1">IFERROR(__xludf.DUMMYFUNCTION("""COMPUTED_VALUE"""),"Ju-14")</f>
        <v>Ju-14</v>
      </c>
      <c r="L41" s="12"/>
      <c r="M41" s="12"/>
      <c r="N41" s="12" t="str">
        <f ca="1">IFERROR(__xludf.DUMMYFUNCTION("""COMPUTED_VALUE"""),"Table1")</f>
        <v>Table1</v>
      </c>
    </row>
    <row r="42" spans="1:14" ht="15.75" customHeight="1" x14ac:dyDescent="0.35">
      <c r="A42" s="12" t="str">
        <f ca="1">IFERROR(__xludf.DUMMYFUNCTION("""COMPUTED_VALUE"""),"Benware, Paul N.")</f>
        <v>Benware, Paul N.</v>
      </c>
      <c r="B42" s="12" t="str">
        <f ca="1">IFERROR(__xludf.DUMMYFUNCTION("""COMPUTED_VALUE""")," Paul N. Benware")</f>
        <v xml:space="preserve"> Paul N. Benware</v>
      </c>
      <c r="C42" s="12" t="str">
        <f ca="1">IFERROR(__xludf.DUMMYFUNCTION("""COMPUTED_VALUE"""),"Understanding End Times Prophecy")</f>
        <v>Understanding End Times Prophecy</v>
      </c>
      <c r="D42" s="4"/>
      <c r="E42" s="12" t="str">
        <f ca="1">IFERROR(__xludf.DUMMYFUNCTION("""COMPUTED_VALUE"""),"Book")</f>
        <v>Book</v>
      </c>
      <c r="F42" s="12" t="str">
        <f ca="1">IFERROR(__xludf.DUMMYFUNCTION("""COMPUTED_VALUE"""),"Eschatology")</f>
        <v>Eschatology</v>
      </c>
      <c r="G42" s="12"/>
      <c r="H42" s="12"/>
      <c r="I42" s="12"/>
      <c r="J42" s="12"/>
      <c r="K42" s="13">
        <f ca="1">IFERROR(__xludf.DUMMYFUNCTION("""COMPUTED_VALUE"""),40705)</f>
        <v>40705</v>
      </c>
      <c r="L42" s="12"/>
      <c r="M42" s="12"/>
      <c r="N42" s="12" t="str">
        <f ca="1">IFERROR(__xludf.DUMMYFUNCTION("""COMPUTED_VALUE"""),"Table1")</f>
        <v>Table1</v>
      </c>
    </row>
    <row r="43" spans="1:14" ht="15.75" customHeight="1" x14ac:dyDescent="0.35">
      <c r="A43" s="12" t="str">
        <f ca="1">IFERROR(__xludf.DUMMYFUNCTION("""COMPUTED_VALUE"""),"Berg, Jim")</f>
        <v>Berg, Jim</v>
      </c>
      <c r="B43" s="12" t="str">
        <f ca="1">IFERROR(__xludf.DUMMYFUNCTION("""COMPUTED_VALUE""")," Jim Berg")</f>
        <v xml:space="preserve"> Jim Berg</v>
      </c>
      <c r="C43" s="12" t="str">
        <f ca="1">IFERROR(__xludf.DUMMYFUNCTION("""COMPUTED_VALUE"""),"Changed Into His Image")</f>
        <v>Changed Into His Image</v>
      </c>
      <c r="D43" s="4"/>
      <c r="E43" s="12" t="str">
        <f ca="1">IFERROR(__xludf.DUMMYFUNCTION("""COMPUTED_VALUE"""),"Book")</f>
        <v>Book</v>
      </c>
      <c r="F43" s="12" t="str">
        <f ca="1">IFERROR(__xludf.DUMMYFUNCTION("""COMPUTED_VALUE"""),"Discipleship")</f>
        <v>Discipleship</v>
      </c>
      <c r="G43" s="12"/>
      <c r="H43" s="12"/>
      <c r="I43" s="12"/>
      <c r="J43" s="12"/>
      <c r="K43" s="13">
        <f ca="1">IFERROR(__xludf.DUMMYFUNCTION("""COMPUTED_VALUE"""),40034)</f>
        <v>40034</v>
      </c>
      <c r="L43" s="12"/>
      <c r="M43" s="12"/>
      <c r="N43" s="12" t="str">
        <f ca="1">IFERROR(__xludf.DUMMYFUNCTION("""COMPUTED_VALUE"""),"Table1")</f>
        <v>Table1</v>
      </c>
    </row>
    <row r="44" spans="1:14" ht="15.75" customHeight="1" x14ac:dyDescent="0.35">
      <c r="A44" s="12" t="str">
        <f ca="1">IFERROR(__xludf.DUMMYFUNCTION("""COMPUTED_VALUE"""),"Berg, Jim")</f>
        <v>Berg, Jim</v>
      </c>
      <c r="B44" s="12" t="str">
        <f ca="1">IFERROR(__xludf.DUMMYFUNCTION("""COMPUTED_VALUE""")," Jim Berg")</f>
        <v xml:space="preserve"> Jim Berg</v>
      </c>
      <c r="C44" s="12" t="str">
        <f ca="1">IFERROR(__xludf.DUMMYFUNCTION("""COMPUTED_VALUE"""),"Created for His Glory")</f>
        <v>Created for His Glory</v>
      </c>
      <c r="D44" s="4"/>
      <c r="E44" s="12" t="str">
        <f ca="1">IFERROR(__xludf.DUMMYFUNCTION("""COMPUTED_VALUE"""),"Book")</f>
        <v>Book</v>
      </c>
      <c r="F44" s="12" t="str">
        <f ca="1">IFERROR(__xludf.DUMMYFUNCTION("""COMPUTED_VALUE"""),"Discipleship")</f>
        <v>Discipleship</v>
      </c>
      <c r="G44" s="12"/>
      <c r="H44" s="12"/>
      <c r="I44" s="12"/>
      <c r="J44" s="12"/>
      <c r="K44" s="13">
        <f ca="1">IFERROR(__xludf.DUMMYFUNCTION("""COMPUTED_VALUE"""),40034)</f>
        <v>40034</v>
      </c>
      <c r="L44" s="12"/>
      <c r="M44" s="12"/>
      <c r="N44" s="12" t="str">
        <f ca="1">IFERROR(__xludf.DUMMYFUNCTION("""COMPUTED_VALUE"""),"Table1")</f>
        <v>Table1</v>
      </c>
    </row>
    <row r="45" spans="1:14" ht="15.75" customHeight="1" x14ac:dyDescent="0.35">
      <c r="A45" s="12" t="str">
        <f ca="1">IFERROR(__xludf.DUMMYFUNCTION("""COMPUTED_VALUE"""),"Berry, Eileen M.")</f>
        <v>Berry, Eileen M.</v>
      </c>
      <c r="B45" s="12" t="str">
        <f ca="1">IFERROR(__xludf.DUMMYFUNCTION("""COMPUTED_VALUE""")," Eileen M. Berry")</f>
        <v xml:space="preserve"> Eileen M. Berry</v>
      </c>
      <c r="C45" s="12" t="str">
        <f ca="1">IFERROR(__xludf.DUMMYFUNCTION("""COMPUTED_VALUE"""),"Looking for Home")</f>
        <v>Looking for Home</v>
      </c>
      <c r="D45" s="4"/>
      <c r="E45" s="12" t="str">
        <f ca="1">IFERROR(__xludf.DUMMYFUNCTION("""COMPUTED_VALUE"""),"Book")</f>
        <v>Book</v>
      </c>
      <c r="F45" s="12" t="str">
        <f ca="1">IFERROR(__xludf.DUMMYFUNCTION("""COMPUTED_VALUE"""),"Children")</f>
        <v>Children</v>
      </c>
      <c r="G45" s="12"/>
      <c r="H45" s="12"/>
      <c r="I45" s="12"/>
      <c r="J45" s="12" t="str">
        <f ca="1">IFERROR(__xludf.DUMMYFUNCTION("""COMPUTED_VALUE"""),"Friendship")</f>
        <v>Friendship</v>
      </c>
      <c r="K45" s="13">
        <f ca="1">IFERROR(__xludf.DUMMYFUNCTION("""COMPUTED_VALUE"""),44240)</f>
        <v>44240</v>
      </c>
      <c r="L45" s="12"/>
      <c r="M45" s="12"/>
      <c r="N45" s="12" t="str">
        <f ca="1">IFERROR(__xludf.DUMMYFUNCTION("""COMPUTED_VALUE"""),"Table1")</f>
        <v>Table1</v>
      </c>
    </row>
    <row r="46" spans="1:14" ht="15.75" customHeight="1" x14ac:dyDescent="0.35">
      <c r="A46" s="12" t="str">
        <f ca="1">IFERROR(__xludf.DUMMYFUNCTION("""COMPUTED_VALUE"""),"Best, Dr. Megan")</f>
        <v>Best, Dr. Megan</v>
      </c>
      <c r="B46" s="12" t="str">
        <f ca="1">IFERROR(__xludf.DUMMYFUNCTION("""COMPUTED_VALUE""")," Dr. Megan Best")</f>
        <v xml:space="preserve"> Dr. Megan Best</v>
      </c>
      <c r="C46" s="12" t="str">
        <f ca="1">IFERROR(__xludf.DUMMYFUNCTION("""COMPUTED_VALUE"""),"Fearfully and Wonderfully Made")</f>
        <v>Fearfully and Wonderfully Made</v>
      </c>
      <c r="D46" s="4"/>
      <c r="E46" s="12" t="str">
        <f ca="1">IFERROR(__xludf.DUMMYFUNCTION("""COMPUTED_VALUE"""),"Book")</f>
        <v>Book</v>
      </c>
      <c r="F46" s="12" t="str">
        <f ca="1">IFERROR(__xludf.DUMMYFUNCTION("""COMPUTED_VALUE"""),"Worldview")</f>
        <v>Worldview</v>
      </c>
      <c r="G46" s="12"/>
      <c r="H46" s="12"/>
      <c r="I46" s="12"/>
      <c r="J46" s="12" t="str">
        <f ca="1">IFERROR(__xludf.DUMMYFUNCTION("""COMPUTED_VALUE"""),"Family Planning, Abortion")</f>
        <v>Family Planning, Abortion</v>
      </c>
      <c r="K46" s="13">
        <f ca="1">IFERROR(__xludf.DUMMYFUNCTION("""COMPUTED_VALUE"""),41530)</f>
        <v>41530</v>
      </c>
      <c r="L46" s="12"/>
      <c r="M46" s="12"/>
      <c r="N46" s="12" t="str">
        <f ca="1">IFERROR(__xludf.DUMMYFUNCTION("""COMPUTED_VALUE"""),"Table1")</f>
        <v>Table1</v>
      </c>
    </row>
    <row r="47" spans="1:14" ht="15.75" customHeight="1" x14ac:dyDescent="0.35">
      <c r="A47" s="12" t="str">
        <f ca="1">IFERROR(__xludf.DUMMYFUNCTION("""COMPUTED_VALUE"""),"Bevington, Bob; Bridges, Jerry")</f>
        <v>Bevington, Bob; Bridges, Jerry</v>
      </c>
      <c r="B47" s="12" t="str">
        <f ca="1">IFERROR(__xludf.DUMMYFUNCTION("""COMPUTED_VALUE""")," Bob Bevington; Jerry Bridges")</f>
        <v xml:space="preserve"> Bob Bevington; Jerry Bridges</v>
      </c>
      <c r="C47" s="12" t="str">
        <f ca="1">IFERROR(__xludf.DUMMYFUNCTION("""COMPUTED_VALUE"""),"The Great Exchange: My Sin for His Righteousness")</f>
        <v>The Great Exchange: My Sin for His Righteousness</v>
      </c>
      <c r="D47" s="4" t="str">
        <f ca="1">IFERROR(__xludf.DUMMYFUNCTION("""COMPUTED_VALUE"""),"Bridges")</f>
        <v>Bridges</v>
      </c>
      <c r="E47" s="12" t="str">
        <f ca="1">IFERROR(__xludf.DUMMYFUNCTION("""COMPUTED_VALUE"""),"Book")</f>
        <v>Book</v>
      </c>
      <c r="F47" s="12" t="str">
        <f ca="1">IFERROR(__xludf.DUMMYFUNCTION("""COMPUTED_VALUE"""),"Salvation")</f>
        <v>Salvation</v>
      </c>
      <c r="G47" s="12"/>
      <c r="H47" s="12"/>
      <c r="I47" s="12"/>
      <c r="J47" s="12"/>
      <c r="K47" s="13">
        <f ca="1">IFERROR(__xludf.DUMMYFUNCTION("""COMPUTED_VALUE"""),40247)</f>
        <v>40247</v>
      </c>
      <c r="L47" s="12"/>
      <c r="M47" s="12"/>
      <c r="N47" s="12" t="str">
        <f ca="1">IFERROR(__xludf.DUMMYFUNCTION("""COMPUTED_VALUE"""),"Table1")</f>
        <v>Table1</v>
      </c>
    </row>
    <row r="48" spans="1:14" ht="15.75" customHeight="1" x14ac:dyDescent="0.35">
      <c r="A48" s="12" t="str">
        <f ca="1">IFERROR(__xludf.DUMMYFUNCTION("""COMPUTED_VALUE"""),"Billings, J. Todd")</f>
        <v>Billings, J. Todd</v>
      </c>
      <c r="B48" s="12" t="str">
        <f ca="1">IFERROR(__xludf.DUMMYFUNCTION("""COMPUTED_VALUE""")," J. Todd Billings")</f>
        <v xml:space="preserve"> J. Todd Billings</v>
      </c>
      <c r="C48" s="12" t="str">
        <f ca="1">IFERROR(__xludf.DUMMYFUNCTION("""COMPUTED_VALUE"""),"Rejoicing in Lament: Wrestling with Incurable Cancer and Life in Christ")</f>
        <v>Rejoicing in Lament: Wrestling with Incurable Cancer and Life in Christ</v>
      </c>
      <c r="D48" s="4"/>
      <c r="E48" s="12" t="str">
        <f ca="1">IFERROR(__xludf.DUMMYFUNCTION("""COMPUTED_VALUE"""),"Book")</f>
        <v>Book</v>
      </c>
      <c r="F48" s="12" t="str">
        <f ca="1">IFERROR(__xludf.DUMMYFUNCTION("""COMPUTED_VALUE"""),"Discipleship")</f>
        <v>Discipleship</v>
      </c>
      <c r="G48" s="12"/>
      <c r="H48" s="12"/>
      <c r="I48" s="12"/>
      <c r="J48" s="12" t="str">
        <f ca="1">IFERROR(__xludf.DUMMYFUNCTION("""COMPUTED_VALUE"""),"Suffering, Cancer")</f>
        <v>Suffering, Cancer</v>
      </c>
      <c r="K48" s="13">
        <f ca="1">IFERROR(__xludf.DUMMYFUNCTION("""COMPUTED_VALUE"""),44772)</f>
        <v>44772</v>
      </c>
      <c r="L48" s="12"/>
      <c r="M48" s="12"/>
      <c r="N48" s="12" t="str">
        <f ca="1">IFERROR(__xludf.DUMMYFUNCTION("""COMPUTED_VALUE"""),"Table1")</f>
        <v>Table1</v>
      </c>
    </row>
    <row r="49" spans="1:14" ht="15.75" customHeight="1" x14ac:dyDescent="0.35">
      <c r="A49" s="12" t="str">
        <f ca="1">IFERROR(__xludf.DUMMYFUNCTION("""COMPUTED_VALUE"""),"Block, Daniel I.")</f>
        <v>Block, Daniel I.</v>
      </c>
      <c r="B49" s="12" t="str">
        <f ca="1">IFERROR(__xludf.DUMMYFUNCTION("""COMPUTED_VALUE""")," Daniel I. Block")</f>
        <v xml:space="preserve"> Daniel I. Block</v>
      </c>
      <c r="C49" s="12" t="str">
        <f ca="1">IFERROR(__xludf.DUMMYFUNCTION("""COMPUTED_VALUE"""),"The New American Commentary: Judges, Ruth")</f>
        <v>The New American Commentary: Judges, Ruth</v>
      </c>
      <c r="D49" s="4"/>
      <c r="E49" s="12" t="str">
        <f ca="1">IFERROR(__xludf.DUMMYFUNCTION("""COMPUTED_VALUE"""),"Book")</f>
        <v>Book</v>
      </c>
      <c r="F49" s="12" t="str">
        <f ca="1">IFERROR(__xludf.DUMMYFUNCTION("""COMPUTED_VALUE"""),"Reference")</f>
        <v>Reference</v>
      </c>
      <c r="G49" s="12"/>
      <c r="H49" s="12"/>
      <c r="I49" s="12"/>
      <c r="J49" s="12"/>
      <c r="K49" s="13">
        <f ca="1">IFERROR(__xludf.DUMMYFUNCTION("""COMPUTED_VALUE"""),43859)</f>
        <v>43859</v>
      </c>
      <c r="L49" s="12"/>
      <c r="M49" s="12"/>
      <c r="N49" s="12" t="str">
        <f ca="1">IFERROR(__xludf.DUMMYFUNCTION("""COMPUTED_VALUE"""),"Table1")</f>
        <v>Table1</v>
      </c>
    </row>
    <row r="50" spans="1:14" ht="15.75" customHeight="1" x14ac:dyDescent="0.35">
      <c r="A50" s="12" t="str">
        <f ca="1">IFERROR(__xludf.DUMMYFUNCTION("""COMPUTED_VALUE"""),"Boekestein, William")</f>
        <v>Boekestein, William</v>
      </c>
      <c r="B50" s="12" t="str">
        <f ca="1">IFERROR(__xludf.DUMMYFUNCTION("""COMPUTED_VALUE""")," William Boekestein")</f>
        <v xml:space="preserve"> William Boekestein</v>
      </c>
      <c r="C50" s="12" t="str">
        <f ca="1">IFERROR(__xludf.DUMMYFUNCTION("""COMPUTED_VALUE"""),"The Best Day of the Week: Why We Love the Lord's Day")</f>
        <v>The Best Day of the Week: Why We Love the Lord's Day</v>
      </c>
      <c r="D50" s="4"/>
      <c r="E50" s="12" t="str">
        <f ca="1">IFERROR(__xludf.DUMMYFUNCTION("""COMPUTED_VALUE"""),"Book")</f>
        <v>Book</v>
      </c>
      <c r="F50" s="12" t="str">
        <f ca="1">IFERROR(__xludf.DUMMYFUNCTION("""COMPUTED_VALUE"""),"Children")</f>
        <v>Children</v>
      </c>
      <c r="G50" s="12"/>
      <c r="H50" s="12"/>
      <c r="I50" s="12"/>
      <c r="J50" s="12" t="str">
        <f ca="1">IFERROR(__xludf.DUMMYFUNCTION("""COMPUTED_VALUE"""),"Sabbath")</f>
        <v>Sabbath</v>
      </c>
      <c r="K50" s="13">
        <f ca="1">IFERROR(__xludf.DUMMYFUNCTION("""COMPUTED_VALUE"""),44688)</f>
        <v>44688</v>
      </c>
      <c r="L50" s="12"/>
      <c r="M50" s="12"/>
      <c r="N50" s="12" t="str">
        <f ca="1">IFERROR(__xludf.DUMMYFUNCTION("""COMPUTED_VALUE"""),"Table1")</f>
        <v>Table1</v>
      </c>
    </row>
    <row r="51" spans="1:14" ht="15.75" customHeight="1" x14ac:dyDescent="0.35">
      <c r="A51" s="12" t="str">
        <f ca="1">IFERROR(__xludf.DUMMYFUNCTION("""COMPUTED_VALUE"""),"Boekestein, William")</f>
        <v>Boekestein, William</v>
      </c>
      <c r="B51" s="12" t="str">
        <f ca="1">IFERROR(__xludf.DUMMYFUNCTION("""COMPUTED_VALUE""")," William Boekestein")</f>
        <v xml:space="preserve"> William Boekestein</v>
      </c>
      <c r="C51" s="12" t="str">
        <f ca="1">IFERROR(__xludf.DUMMYFUNCTION("""COMPUTED_VALUE"""),"Shepherd Warrior/Ulrich Zwingly")</f>
        <v>Shepherd Warrior/Ulrich Zwingly</v>
      </c>
      <c r="D51" s="4" t="str">
        <f ca="1">IFERROR(__xludf.DUMMYFUNCTION("""COMPUTED_VALUE"""),"Trail Blazers")</f>
        <v>Trail Blazers</v>
      </c>
      <c r="E51" s="12" t="str">
        <f ca="1">IFERROR(__xludf.DUMMYFUNCTION("""COMPUTED_VALUE"""),"Book")</f>
        <v>Book</v>
      </c>
      <c r="F51" s="12" t="str">
        <f ca="1">IFERROR(__xludf.DUMMYFUNCTION("""COMPUTED_VALUE"""),"Children")</f>
        <v>Children</v>
      </c>
      <c r="G51" s="12"/>
      <c r="H51" s="12"/>
      <c r="I51" s="12"/>
      <c r="J51" s="12"/>
      <c r="K51" s="13"/>
      <c r="L51" s="12"/>
      <c r="M51" s="12"/>
      <c r="N51" s="12" t="str">
        <f ca="1">IFERROR(__xludf.DUMMYFUNCTION("""COMPUTED_VALUE"""),"Table1")</f>
        <v>Table1</v>
      </c>
    </row>
    <row r="52" spans="1:14" ht="15.75" customHeight="1" x14ac:dyDescent="0.35">
      <c r="A52" s="12" t="str">
        <f ca="1">IFERROR(__xludf.DUMMYFUNCTION("""COMPUTED_VALUE"""),"Boice, James Montgomery")</f>
        <v>Boice, James Montgomery</v>
      </c>
      <c r="B52" s="12" t="str">
        <f ca="1">IFERROR(__xludf.DUMMYFUNCTION("""COMPUTED_VALUE""")," James Montgomery Boice")</f>
        <v xml:space="preserve"> James Montgomery Boice</v>
      </c>
      <c r="C52" s="12" t="str">
        <f ca="1">IFERROR(__xludf.DUMMYFUNCTION("""COMPUTED_VALUE"""),"How to Live the Christian Life")</f>
        <v>How to Live the Christian Life</v>
      </c>
      <c r="D52" s="4"/>
      <c r="E52" s="12" t="str">
        <f ca="1">IFERROR(__xludf.DUMMYFUNCTION("""COMPUTED_VALUE"""),"Book")</f>
        <v>Book</v>
      </c>
      <c r="F52" s="12" t="str">
        <f ca="1">IFERROR(__xludf.DUMMYFUNCTION("""COMPUTED_VALUE"""),"Discipleship")</f>
        <v>Discipleship</v>
      </c>
      <c r="G52" s="12"/>
      <c r="H52" s="12"/>
      <c r="I52" s="12"/>
      <c r="J52" s="12"/>
      <c r="K52" s="13">
        <f ca="1">IFERROR(__xludf.DUMMYFUNCTION("""COMPUTED_VALUE"""),43912)</f>
        <v>43912</v>
      </c>
      <c r="L52" s="12"/>
      <c r="M52" s="12"/>
      <c r="N52" s="12" t="str">
        <f ca="1">IFERROR(__xludf.DUMMYFUNCTION("""COMPUTED_VALUE"""),"Table1")</f>
        <v>Table1</v>
      </c>
    </row>
    <row r="53" spans="1:14" ht="15.75" customHeight="1" x14ac:dyDescent="0.35">
      <c r="A53" s="12" t="str">
        <f ca="1">IFERROR(__xludf.DUMMYFUNCTION("""COMPUTED_VALUE"""),"Boice, James Montgomery")</f>
        <v>Boice, James Montgomery</v>
      </c>
      <c r="B53" s="12" t="str">
        <f ca="1">IFERROR(__xludf.DUMMYFUNCTION("""COMPUTED_VALUE""")," James Montgomery Boice")</f>
        <v xml:space="preserve"> James Montgomery Boice</v>
      </c>
      <c r="C53" s="12" t="str">
        <f ca="1">IFERROR(__xludf.DUMMYFUNCTION("""COMPUTED_VALUE"""),"Jesus on Trial")</f>
        <v>Jesus on Trial</v>
      </c>
      <c r="D53" s="4" t="str">
        <f ca="1">IFERROR(__xludf.DUMMYFUNCTION("""COMPUTED_VALUE"""),"Ryken")</f>
        <v>Ryken</v>
      </c>
      <c r="E53" s="12" t="str">
        <f ca="1">IFERROR(__xludf.DUMMYFUNCTION("""COMPUTED_VALUE"""),"Book")</f>
        <v>Book</v>
      </c>
      <c r="F53" s="12" t="str">
        <f ca="1">IFERROR(__xludf.DUMMYFUNCTION("""COMPUTED_VALUE"""),"Theology")</f>
        <v>Theology</v>
      </c>
      <c r="G53" s="12" t="str">
        <f ca="1">IFERROR(__xludf.DUMMYFUNCTION("""COMPUTED_VALUE"""),"Worldview?")</f>
        <v>Worldview?</v>
      </c>
      <c r="H53" s="12"/>
      <c r="I53" s="12"/>
      <c r="J53" s="12" t="str">
        <f ca="1">IFERROR(__xludf.DUMMYFUNCTION("""COMPUTED_VALUE"""),"Apologetics")</f>
        <v>Apologetics</v>
      </c>
      <c r="K53" s="13">
        <f ca="1">IFERROR(__xludf.DUMMYFUNCTION("""COMPUTED_VALUE"""),40034)</f>
        <v>40034</v>
      </c>
      <c r="L53" s="12"/>
      <c r="M53" s="12"/>
      <c r="N53" s="12" t="str">
        <f ca="1">IFERROR(__xludf.DUMMYFUNCTION("""COMPUTED_VALUE"""),"Table1")</f>
        <v>Table1</v>
      </c>
    </row>
    <row r="54" spans="1:14" ht="15.75" customHeight="1" x14ac:dyDescent="0.35">
      <c r="A54" s="12" t="str">
        <f ca="1">IFERROR(__xludf.DUMMYFUNCTION("""COMPUTED_VALUE"""),"Boice, James Montgomery")</f>
        <v>Boice, James Montgomery</v>
      </c>
      <c r="B54" s="12" t="str">
        <f ca="1">IFERROR(__xludf.DUMMYFUNCTION("""COMPUTED_VALUE""")," James Montgomery Boice")</f>
        <v xml:space="preserve"> James Montgomery Boice</v>
      </c>
      <c r="C54" s="12" t="str">
        <f ca="1">IFERROR(__xludf.DUMMYFUNCTION("""COMPUTED_VALUE"""),"Whatever Happened to the Gospel of Grace?")</f>
        <v>Whatever Happened to the Gospel of Grace?</v>
      </c>
      <c r="D54" s="4"/>
      <c r="E54" s="12" t="str">
        <f ca="1">IFERROR(__xludf.DUMMYFUNCTION("""COMPUTED_VALUE"""),"Book")</f>
        <v>Book</v>
      </c>
      <c r="F54" s="12" t="str">
        <f ca="1">IFERROR(__xludf.DUMMYFUNCTION("""COMPUTED_VALUE"""),"Theology")</f>
        <v>Theology</v>
      </c>
      <c r="G54" s="12"/>
      <c r="H54" s="12"/>
      <c r="I54" s="12"/>
      <c r="J54" s="12"/>
      <c r="K54" s="13">
        <f ca="1">IFERROR(__xludf.DUMMYFUNCTION("""COMPUTED_VALUE"""),42139)</f>
        <v>42139</v>
      </c>
      <c r="L54" s="12"/>
      <c r="M54" s="12"/>
      <c r="N54" s="12" t="str">
        <f ca="1">IFERROR(__xludf.DUMMYFUNCTION("""COMPUTED_VALUE"""),"Table1")</f>
        <v>Table1</v>
      </c>
    </row>
    <row r="55" spans="1:14" ht="15.75" customHeight="1" x14ac:dyDescent="0.35">
      <c r="A55" s="12" t="str">
        <f ca="1">IFERROR(__xludf.DUMMYFUNCTION("""COMPUTED_VALUE"""),"Bonar, Andrew")</f>
        <v>Bonar, Andrew</v>
      </c>
      <c r="B55" s="12" t="str">
        <f ca="1">IFERROR(__xludf.DUMMYFUNCTION("""COMPUTED_VALUE""")," Andrew Bonar")</f>
        <v xml:space="preserve"> Andrew Bonar</v>
      </c>
      <c r="C55" s="12" t="str">
        <f ca="1">IFERROR(__xludf.DUMMYFUNCTION("""COMPUTED_VALUE"""),"Memoir and Remains of Robert Murray M'Cheyne")</f>
        <v>Memoir and Remains of Robert Murray M'Cheyne</v>
      </c>
      <c r="D55" s="4"/>
      <c r="E55" s="12" t="str">
        <f ca="1">IFERROR(__xludf.DUMMYFUNCTION("""COMPUTED_VALUE"""),"Book")</f>
        <v>Book</v>
      </c>
      <c r="F55" s="12" t="str">
        <f ca="1">IFERROR(__xludf.DUMMYFUNCTION("""COMPUTED_VALUE"""),"Biography")</f>
        <v>Biography</v>
      </c>
      <c r="G55" s="12"/>
      <c r="H55" s="12"/>
      <c r="I55" s="12"/>
      <c r="J55" s="12"/>
      <c r="K55" s="13">
        <f ca="1">IFERROR(__xludf.DUMMYFUNCTION("""COMPUTED_VALUE"""),40034)</f>
        <v>40034</v>
      </c>
      <c r="L55" s="12"/>
      <c r="M55" s="12"/>
      <c r="N55" s="12" t="str">
        <f ca="1">IFERROR(__xludf.DUMMYFUNCTION("""COMPUTED_VALUE"""),"Table1")</f>
        <v>Table1</v>
      </c>
    </row>
    <row r="56" spans="1:14" ht="15.75" customHeight="1" x14ac:dyDescent="0.35">
      <c r="A56" s="12" t="str">
        <f ca="1">IFERROR(__xludf.DUMMYFUNCTION("""COMPUTED_VALUE"""),"Bonar, Marjory")</f>
        <v>Bonar, Marjory</v>
      </c>
      <c r="B56" s="12" t="str">
        <f ca="1">IFERROR(__xludf.DUMMYFUNCTION("""COMPUTED_VALUE""")," Marjory Bonar")</f>
        <v xml:space="preserve"> Marjory Bonar</v>
      </c>
      <c r="C56" s="12" t="str">
        <f ca="1">IFERROR(__xludf.DUMMYFUNCTION("""COMPUTED_VALUE"""),"Andrew Bonar: The Good Pastor")</f>
        <v>Andrew Bonar: The Good Pastor</v>
      </c>
      <c r="D56" s="4"/>
      <c r="E56" s="12" t="str">
        <f ca="1">IFERROR(__xludf.DUMMYFUNCTION("""COMPUTED_VALUE"""),"Book")</f>
        <v>Book</v>
      </c>
      <c r="F56" s="12" t="str">
        <f ca="1">IFERROR(__xludf.DUMMYFUNCTION("""COMPUTED_VALUE"""),"Biography")</f>
        <v>Biography</v>
      </c>
      <c r="G56" s="12"/>
      <c r="H56" s="12"/>
      <c r="I56" s="12"/>
      <c r="J56" s="12"/>
      <c r="K56" s="13">
        <f ca="1">IFERROR(__xludf.DUMMYFUNCTION("""COMPUTED_VALUE"""),40034)</f>
        <v>40034</v>
      </c>
      <c r="L56" s="12"/>
      <c r="M56" s="12"/>
      <c r="N56" s="12" t="str">
        <f ca="1">IFERROR(__xludf.DUMMYFUNCTION("""COMPUTED_VALUE"""),"Table1")</f>
        <v>Table1</v>
      </c>
    </row>
    <row r="57" spans="1:14" ht="15.75" customHeight="1" x14ac:dyDescent="0.35">
      <c r="A57" s="12" t="str">
        <f ca="1">IFERROR(__xludf.DUMMYFUNCTION("""COMPUTED_VALUE"""),"Bond, Douglas")</f>
        <v>Bond, Douglas</v>
      </c>
      <c r="B57" s="12" t="str">
        <f ca="1">IFERROR(__xludf.DUMMYFUNCTION("""COMPUTED_VALUE""")," Douglas Bond")</f>
        <v xml:space="preserve"> Douglas Bond</v>
      </c>
      <c r="C57" s="12" t="str">
        <f ca="1">IFERROR(__xludf.DUMMYFUNCTION("""COMPUTED_VALUE"""),"The Accidental Voyage: Discovering Hymns of the Early Centuries")</f>
        <v>The Accidental Voyage: Discovering Hymns of the Early Centuries</v>
      </c>
      <c r="D57" s="4"/>
      <c r="E57" s="12" t="str">
        <f ca="1">IFERROR(__xludf.DUMMYFUNCTION("""COMPUTED_VALUE"""),"Book")</f>
        <v>Book</v>
      </c>
      <c r="F57" s="12" t="str">
        <f ca="1">IFERROR(__xludf.DUMMYFUNCTION("""COMPUTED_VALUE"""),"Children")</f>
        <v>Children</v>
      </c>
      <c r="G57" s="12"/>
      <c r="H57" s="12"/>
      <c r="I57" s="12"/>
      <c r="J57" s="12"/>
      <c r="K57" s="13"/>
      <c r="L57" s="12"/>
      <c r="M57" s="12"/>
      <c r="N57" s="12" t="str">
        <f ca="1">IFERROR(__xludf.DUMMYFUNCTION("""COMPUTED_VALUE"""),"Table1")</f>
        <v>Table1</v>
      </c>
    </row>
    <row r="58" spans="1:14" ht="15.75" customHeight="1" x14ac:dyDescent="0.35">
      <c r="A58" s="12" t="str">
        <f ca="1">IFERROR(__xludf.DUMMYFUNCTION("""COMPUTED_VALUE"""),"Bond, Douglas")</f>
        <v>Bond, Douglas</v>
      </c>
      <c r="B58" s="12" t="str">
        <f ca="1">IFERROR(__xludf.DUMMYFUNCTION("""COMPUTED_VALUE""")," Douglas Bond")</f>
        <v xml:space="preserve"> Douglas Bond</v>
      </c>
      <c r="C58" s="12" t="str">
        <f ca="1">IFERROR(__xludf.DUMMYFUNCTION("""COMPUTED_VALUE"""),"The Betrayal: A Novel on John Calvin")</f>
        <v>The Betrayal: A Novel on John Calvin</v>
      </c>
      <c r="D58" s="4"/>
      <c r="E58" s="12" t="str">
        <f ca="1">IFERROR(__xludf.DUMMYFUNCTION("""COMPUTED_VALUE"""),"Book")</f>
        <v>Book</v>
      </c>
      <c r="F58" s="12" t="str">
        <f ca="1">IFERROR(__xludf.DUMMYFUNCTION("""COMPUTED_VALUE"""),"Fiction")</f>
        <v>Fiction</v>
      </c>
      <c r="G58" s="12"/>
      <c r="H58" s="12"/>
      <c r="I58" s="12"/>
      <c r="J58" s="12" t="str">
        <f ca="1">IFERROR(__xludf.DUMMYFUNCTION("""COMPUTED_VALUE"""),"Youth")</f>
        <v>Youth</v>
      </c>
      <c r="K58" s="13">
        <f ca="1">IFERROR(__xludf.DUMMYFUNCTION("""COMPUTED_VALUE"""),43211)</f>
        <v>43211</v>
      </c>
      <c r="L58" s="12"/>
      <c r="M58" s="12"/>
      <c r="N58" s="12" t="str">
        <f ca="1">IFERROR(__xludf.DUMMYFUNCTION("""COMPUTED_VALUE"""),"Table1")</f>
        <v>Table1</v>
      </c>
    </row>
    <row r="59" spans="1:14" ht="15.75" customHeight="1" x14ac:dyDescent="0.35">
      <c r="A59" s="12" t="str">
        <f ca="1">IFERROR(__xludf.DUMMYFUNCTION("""COMPUTED_VALUE"""),"Bond, Douglas")</f>
        <v>Bond, Douglas</v>
      </c>
      <c r="B59" s="12" t="str">
        <f ca="1">IFERROR(__xludf.DUMMYFUNCTION("""COMPUTED_VALUE""")," Douglas Bond")</f>
        <v xml:space="preserve"> Douglas Bond</v>
      </c>
      <c r="C59" s="12" t="str">
        <f ca="1">IFERROR(__xludf.DUMMYFUNCTION("""COMPUTED_VALUE"""),"Grace Works!  (And Ways We Think It Doesn't)")</f>
        <v>Grace Works!  (And Ways We Think It Doesn't)</v>
      </c>
      <c r="D59" s="4"/>
      <c r="E59" s="12" t="str">
        <f ca="1">IFERROR(__xludf.DUMMYFUNCTION("""COMPUTED_VALUE"""),"Book")</f>
        <v>Book</v>
      </c>
      <c r="F59" s="12" t="str">
        <f ca="1">IFERROR(__xludf.DUMMYFUNCTION("""COMPUTED_VALUE"""),"Theology")</f>
        <v>Theology</v>
      </c>
      <c r="G59" s="12"/>
      <c r="H59" s="12"/>
      <c r="I59" s="12"/>
      <c r="J59" s="12" t="str">
        <f ca="1">IFERROR(__xludf.DUMMYFUNCTION("""COMPUTED_VALUE"""),"Law, Gospel")</f>
        <v>Law, Gospel</v>
      </c>
      <c r="K59" s="13">
        <f ca="1">IFERROR(__xludf.DUMMYFUNCTION("""COMPUTED_VALUE"""),43832)</f>
        <v>43832</v>
      </c>
      <c r="L59" s="12"/>
      <c r="M59" s="12"/>
      <c r="N59" s="12" t="str">
        <f ca="1">IFERROR(__xludf.DUMMYFUNCTION("""COMPUTED_VALUE"""),"Table1")</f>
        <v>Table1</v>
      </c>
    </row>
    <row r="60" spans="1:14" ht="15.75" customHeight="1" x14ac:dyDescent="0.35">
      <c r="A60" s="12" t="str">
        <f ca="1">IFERROR(__xludf.DUMMYFUNCTION("""COMPUTED_VALUE"""),"Bond, Douglas")</f>
        <v>Bond, Douglas</v>
      </c>
      <c r="B60" s="12" t="str">
        <f ca="1">IFERROR(__xludf.DUMMYFUNCTION("""COMPUTED_VALUE""")," Douglas Bond")</f>
        <v xml:space="preserve"> Douglas Bond</v>
      </c>
      <c r="C60" s="12" t="str">
        <f ca="1">IFERROR(__xludf.DUMMYFUNCTION("""COMPUTED_VALUE"""),"Guns of Thunder")</f>
        <v>Guns of Thunder</v>
      </c>
      <c r="D60" s="4"/>
      <c r="E60" s="12" t="str">
        <f ca="1">IFERROR(__xludf.DUMMYFUNCTION("""COMPUTED_VALUE"""),"Book")</f>
        <v>Book</v>
      </c>
      <c r="F60" s="12" t="str">
        <f ca="1">IFERROR(__xludf.DUMMYFUNCTION("""COMPUTED_VALUE"""),"Children")</f>
        <v>Children</v>
      </c>
      <c r="G60" s="12"/>
      <c r="H60" s="12"/>
      <c r="I60" s="12"/>
      <c r="J60" s="12"/>
      <c r="K60" s="13"/>
      <c r="L60" s="12"/>
      <c r="M60" s="12"/>
      <c r="N60" s="12" t="str">
        <f ca="1">IFERROR(__xludf.DUMMYFUNCTION("""COMPUTED_VALUE"""),"Table1")</f>
        <v>Table1</v>
      </c>
    </row>
    <row r="61" spans="1:14" ht="15.75" customHeight="1" x14ac:dyDescent="0.35">
      <c r="A61" s="12" t="str">
        <f ca="1">IFERROR(__xludf.DUMMYFUNCTION("""COMPUTED_VALUE"""),"Bond, Douglas")</f>
        <v>Bond, Douglas</v>
      </c>
      <c r="B61" s="12" t="str">
        <f ca="1">IFERROR(__xludf.DUMMYFUNCTION("""COMPUTED_VALUE""")," Douglas Bond")</f>
        <v xml:space="preserve"> Douglas Bond</v>
      </c>
      <c r="C61" s="12" t="str">
        <f ca="1">IFERROR(__xludf.DUMMYFUNCTION("""COMPUTED_VALUE"""),"The Revolt: A Novel on Wycliffe's England")</f>
        <v>The Revolt: A Novel on Wycliffe's England</v>
      </c>
      <c r="D61" s="4"/>
      <c r="E61" s="12" t="str">
        <f ca="1">IFERROR(__xludf.DUMMYFUNCTION("""COMPUTED_VALUE"""),"Book")</f>
        <v>Book</v>
      </c>
      <c r="F61" s="12" t="str">
        <f ca="1">IFERROR(__xludf.DUMMYFUNCTION("""COMPUTED_VALUE"""),"Fiction")</f>
        <v>Fiction</v>
      </c>
      <c r="G61" s="12"/>
      <c r="H61" s="12"/>
      <c r="I61" s="12"/>
      <c r="J61" s="12" t="str">
        <f ca="1">IFERROR(__xludf.DUMMYFUNCTION("""COMPUTED_VALUE"""),"Youth")</f>
        <v>Youth</v>
      </c>
      <c r="K61" s="13">
        <f ca="1">IFERROR(__xludf.DUMMYFUNCTION("""COMPUTED_VALUE"""),43160)</f>
        <v>43160</v>
      </c>
      <c r="L61" s="12"/>
      <c r="M61" s="12"/>
      <c r="N61" s="12" t="str">
        <f ca="1">IFERROR(__xludf.DUMMYFUNCTION("""COMPUTED_VALUE"""),"Table1")</f>
        <v>Table1</v>
      </c>
    </row>
    <row r="62" spans="1:14" ht="15.75" customHeight="1" x14ac:dyDescent="0.35">
      <c r="A62" s="12" t="str">
        <f ca="1">IFERROR(__xludf.DUMMYFUNCTION("""COMPUTED_VALUE"""),"Bond, Douglas")</f>
        <v>Bond, Douglas</v>
      </c>
      <c r="B62" s="12" t="str">
        <f ca="1">IFERROR(__xludf.DUMMYFUNCTION("""COMPUTED_VALUE""")," Douglas Bond")</f>
        <v xml:space="preserve"> Douglas Bond</v>
      </c>
      <c r="C62" s="12" t="str">
        <f ca="1">IFERROR(__xludf.DUMMYFUNCTION("""COMPUTED_VALUE"""),"The Thunder: A Novel on John Knox")</f>
        <v>The Thunder: A Novel on John Knox</v>
      </c>
      <c r="D62" s="4"/>
      <c r="E62" s="12" t="str">
        <f ca="1">IFERROR(__xludf.DUMMYFUNCTION("""COMPUTED_VALUE"""),"Book")</f>
        <v>Book</v>
      </c>
      <c r="F62" s="12" t="str">
        <f ca="1">IFERROR(__xludf.DUMMYFUNCTION("""COMPUTED_VALUE"""),"Fiction")</f>
        <v>Fiction</v>
      </c>
      <c r="G62" s="12"/>
      <c r="H62" s="12"/>
      <c r="I62" s="12"/>
      <c r="J62" s="12" t="str">
        <f ca="1">IFERROR(__xludf.DUMMYFUNCTION("""COMPUTED_VALUE"""),"Youth")</f>
        <v>Youth</v>
      </c>
      <c r="K62" s="13">
        <f ca="1">IFERROR(__xludf.DUMMYFUNCTION("""COMPUTED_VALUE"""),43211)</f>
        <v>43211</v>
      </c>
      <c r="L62" s="12"/>
      <c r="M62" s="12"/>
      <c r="N62" s="12" t="str">
        <f ca="1">IFERROR(__xludf.DUMMYFUNCTION("""COMPUTED_VALUE"""),"Table1")</f>
        <v>Table1</v>
      </c>
    </row>
    <row r="63" spans="1:14" ht="15.75" customHeight="1" x14ac:dyDescent="0.35">
      <c r="A63" s="12" t="str">
        <f ca="1">IFERROR(__xludf.DUMMYFUNCTION("""COMPUTED_VALUE"""),"Bond, Douglas and McComas, Douglas")</f>
        <v>Bond, Douglas and McComas, Douglas</v>
      </c>
      <c r="B63" s="12" t="str">
        <f ca="1">IFERROR(__xludf.DUMMYFUNCTION("""COMPUTED_VALUE"""),"#N/A")</f>
        <v>#N/A</v>
      </c>
      <c r="C63" s="12" t="str">
        <f ca="1">IFERROR(__xludf.DUMMYFUNCTION("""COMPUTED_VALUE"""),"Girolamo Savonarola")</f>
        <v>Girolamo Savonarola</v>
      </c>
      <c r="D63" s="4" t="str">
        <f ca="1">IFERROR(__xludf.DUMMYFUNCTION("""COMPUTED_VALUE"""),"Bitesize Biographies")</f>
        <v>Bitesize Biographies</v>
      </c>
      <c r="E63" s="12" t="str">
        <f ca="1">IFERROR(__xludf.DUMMYFUNCTION("""COMPUTED_VALUE"""),"Book")</f>
        <v>Book</v>
      </c>
      <c r="F63" s="12" t="str">
        <f ca="1">IFERROR(__xludf.DUMMYFUNCTION("""COMPUTED_VALUE"""),"Biography")</f>
        <v>Biography</v>
      </c>
      <c r="G63" s="12"/>
      <c r="H63" s="12"/>
      <c r="I63" s="12"/>
      <c r="J63" s="12"/>
      <c r="K63" s="13">
        <f ca="1">IFERROR(__xludf.DUMMYFUNCTION("""COMPUTED_VALUE"""),43704)</f>
        <v>43704</v>
      </c>
      <c r="L63" s="12"/>
      <c r="M63" s="12"/>
      <c r="N63" s="12" t="str">
        <f ca="1">IFERROR(__xludf.DUMMYFUNCTION("""COMPUTED_VALUE"""),"Table1")</f>
        <v>Table1</v>
      </c>
    </row>
    <row r="64" spans="1:14" ht="15.75" customHeight="1" x14ac:dyDescent="0.35">
      <c r="A64" s="12" t="str">
        <f ca="1">IFERROR(__xludf.DUMMYFUNCTION("""COMPUTED_VALUE"""),"Borgman, Brian")</f>
        <v>Borgman, Brian</v>
      </c>
      <c r="B64" s="12" t="str">
        <f ca="1">IFERROR(__xludf.DUMMYFUNCTION("""COMPUTED_VALUE""")," Brian Borgman")</f>
        <v xml:space="preserve"> Brian Borgman</v>
      </c>
      <c r="C64" s="12" t="str">
        <f ca="1">IFERROR(__xludf.DUMMYFUNCTION("""COMPUTED_VALUE"""),"Spiritual Warfare")</f>
        <v>Spiritual Warfare</v>
      </c>
      <c r="D64" s="4" t="str">
        <f ca="1">IFERROR(__xludf.DUMMYFUNCTION("""COMPUTED_VALUE"""),"Ventura")</f>
        <v>Ventura</v>
      </c>
      <c r="E64" s="12" t="str">
        <f ca="1">IFERROR(__xludf.DUMMYFUNCTION("""COMPUTED_VALUE"""),"Book")</f>
        <v>Book</v>
      </c>
      <c r="F64" s="12" t="str">
        <f ca="1">IFERROR(__xludf.DUMMYFUNCTION("""COMPUTED_VALUE"""),"Discipleship")</f>
        <v>Discipleship</v>
      </c>
      <c r="G64" s="12"/>
      <c r="H64" s="12"/>
      <c r="I64" s="12"/>
      <c r="J64" s="12" t="str">
        <f ca="1">IFERROR(__xludf.DUMMYFUNCTION("""COMPUTED_VALUE"""),"Warfare")</f>
        <v>Warfare</v>
      </c>
      <c r="K64" s="13">
        <f ca="1">IFERROR(__xludf.DUMMYFUNCTION("""COMPUTED_VALUE"""),42705)</f>
        <v>42705</v>
      </c>
      <c r="L64" s="12"/>
      <c r="M64" s="12"/>
      <c r="N64" s="12" t="str">
        <f ca="1">IFERROR(__xludf.DUMMYFUNCTION("""COMPUTED_VALUE"""),"Table1")</f>
        <v>Table1</v>
      </c>
    </row>
    <row r="65" spans="1:14" ht="15.75" customHeight="1" x14ac:dyDescent="0.35">
      <c r="A65" s="12" t="str">
        <f ca="1">IFERROR(__xludf.DUMMYFUNCTION("""COMPUTED_VALUE"""),"Borgmann, Albert")</f>
        <v>Borgmann, Albert</v>
      </c>
      <c r="B65" s="12" t="str">
        <f ca="1">IFERROR(__xludf.DUMMYFUNCTION("""COMPUTED_VALUE""")," Albert Borgmann")</f>
        <v xml:space="preserve"> Albert Borgmann</v>
      </c>
      <c r="C65" s="12" t="str">
        <f ca="1">IFERROR(__xludf.DUMMYFUNCTION("""COMPUTED_VALUE"""),"Transhumanism and the Image of God")</f>
        <v>Transhumanism and the Image of God</v>
      </c>
      <c r="D65" s="4"/>
      <c r="E65" s="12" t="str">
        <f ca="1">IFERROR(__xludf.DUMMYFUNCTION("""COMPUTED_VALUE"""),"Book")</f>
        <v>Book</v>
      </c>
      <c r="F65" s="12" t="str">
        <f ca="1">IFERROR(__xludf.DUMMYFUNCTION("""COMPUTED_VALUE"""),"Understanding Mankind")</f>
        <v>Understanding Mankind</v>
      </c>
      <c r="G65" s="12"/>
      <c r="H65" s="12"/>
      <c r="I65" s="12"/>
      <c r="J65" s="12" t="str">
        <f ca="1">IFERROR(__xludf.DUMMYFUNCTION("""COMPUTED_VALUE"""),"Technology")</f>
        <v>Technology</v>
      </c>
      <c r="K65" s="13">
        <f ca="1">IFERROR(__xludf.DUMMYFUNCTION("""COMPUTED_VALUE"""),44423)</f>
        <v>44423</v>
      </c>
      <c r="L65" s="12"/>
      <c r="M65" s="12"/>
      <c r="N65" s="12" t="str">
        <f ca="1">IFERROR(__xludf.DUMMYFUNCTION("""COMPUTED_VALUE"""),"Table1")</f>
        <v>Table1</v>
      </c>
    </row>
    <row r="66" spans="1:14" ht="15.75" customHeight="1" x14ac:dyDescent="0.35">
      <c r="A66" s="12" t="str">
        <f ca="1">IFERROR(__xludf.DUMMYFUNCTION("""COMPUTED_VALUE"""),"Boston, Thomas")</f>
        <v>Boston, Thomas</v>
      </c>
      <c r="B66" s="12" t="str">
        <f ca="1">IFERROR(__xludf.DUMMYFUNCTION("""COMPUTED_VALUE""")," Thomas Boston")</f>
        <v xml:space="preserve"> Thomas Boston</v>
      </c>
      <c r="C66" s="12" t="str">
        <f ca="1">IFERROR(__xludf.DUMMYFUNCTION("""COMPUTED_VALUE"""),"Crook in the Lot, The")</f>
        <v>Crook in the Lot, The</v>
      </c>
      <c r="D66" s="4"/>
      <c r="E66" s="12" t="str">
        <f ca="1">IFERROR(__xludf.DUMMYFUNCTION("""COMPUTED_VALUE"""),"Book")</f>
        <v>Book</v>
      </c>
      <c r="F66" s="12" t="str">
        <f ca="1">IFERROR(__xludf.DUMMYFUNCTION("""COMPUTED_VALUE"""),"Theology")</f>
        <v>Theology</v>
      </c>
      <c r="G66" s="12" t="str">
        <f ca="1">IFERROR(__xludf.DUMMYFUNCTION("""COMPUTED_VALUE"""),"Discipleship")</f>
        <v>Discipleship</v>
      </c>
      <c r="H66" s="12" t="str">
        <f ca="1">IFERROR(__xludf.DUMMYFUNCTION("""COMPUTED_VALUE"""),"Puritans")</f>
        <v>Puritans</v>
      </c>
      <c r="I66" s="12"/>
      <c r="J66" s="12"/>
      <c r="K66" s="13">
        <f ca="1">IFERROR(__xludf.DUMMYFUNCTION("""COMPUTED_VALUE"""),43046)</f>
        <v>43046</v>
      </c>
      <c r="L66" s="12"/>
      <c r="M66" s="12"/>
      <c r="N66" s="12" t="str">
        <f ca="1">IFERROR(__xludf.DUMMYFUNCTION("""COMPUTED_VALUE"""),"Table1")</f>
        <v>Table1</v>
      </c>
    </row>
    <row r="67" spans="1:14" ht="15.75" customHeight="1" x14ac:dyDescent="0.35">
      <c r="A67" s="12" t="str">
        <f ca="1">IFERROR(__xludf.DUMMYFUNCTION("""COMPUTED_VALUE"""),"Bounds, E.M.")</f>
        <v>Bounds, E.M.</v>
      </c>
      <c r="B67" s="12" t="str">
        <f ca="1">IFERROR(__xludf.DUMMYFUNCTION("""COMPUTED_VALUE""")," E.M. Bounds")</f>
        <v xml:space="preserve"> E.M. Bounds</v>
      </c>
      <c r="C67" s="12" t="str">
        <f ca="1">IFERROR(__xludf.DUMMYFUNCTION("""COMPUTED_VALUE"""),"Power Through Prayer")</f>
        <v>Power Through Prayer</v>
      </c>
      <c r="D67" s="4"/>
      <c r="E67" s="12" t="str">
        <f ca="1">IFERROR(__xludf.DUMMYFUNCTION("""COMPUTED_VALUE"""),"Book")</f>
        <v>Book</v>
      </c>
      <c r="F67" s="12" t="str">
        <f ca="1">IFERROR(__xludf.DUMMYFUNCTION("""COMPUTED_VALUE"""),"Discipleship")</f>
        <v>Discipleship</v>
      </c>
      <c r="G67" s="12"/>
      <c r="H67" s="12"/>
      <c r="I67" s="12"/>
      <c r="J67" s="12" t="str">
        <f ca="1">IFERROR(__xludf.DUMMYFUNCTION("""COMPUTED_VALUE"""),"Prayer")</f>
        <v>Prayer</v>
      </c>
      <c r="K67" s="13">
        <f ca="1">IFERROR(__xludf.DUMMYFUNCTION("""COMPUTED_VALUE"""),41560)</f>
        <v>41560</v>
      </c>
      <c r="L67" s="12"/>
      <c r="M67" s="12"/>
      <c r="N67" s="12" t="str">
        <f ca="1">IFERROR(__xludf.DUMMYFUNCTION("""COMPUTED_VALUE"""),"Table1")</f>
        <v>Table1</v>
      </c>
    </row>
    <row r="68" spans="1:14" ht="15.75" customHeight="1" x14ac:dyDescent="0.35">
      <c r="A68" s="12" t="str">
        <f ca="1">IFERROR(__xludf.DUMMYFUNCTION("""COMPUTED_VALUE"""),"Bounds, E.M.")</f>
        <v>Bounds, E.M.</v>
      </c>
      <c r="B68" s="12" t="str">
        <f ca="1">IFERROR(__xludf.DUMMYFUNCTION("""COMPUTED_VALUE""")," E.M. Bounds")</f>
        <v xml:space="preserve"> E.M. Bounds</v>
      </c>
      <c r="C68" s="12" t="str">
        <f ca="1">IFERROR(__xludf.DUMMYFUNCTION("""COMPUTED_VALUE"""),"Reality of Prayer, The")</f>
        <v>Reality of Prayer, The</v>
      </c>
      <c r="D68" s="4"/>
      <c r="E68" s="12" t="str">
        <f ca="1">IFERROR(__xludf.DUMMYFUNCTION("""COMPUTED_VALUE"""),"Book")</f>
        <v>Book</v>
      </c>
      <c r="F68" s="12" t="str">
        <f ca="1">IFERROR(__xludf.DUMMYFUNCTION("""COMPUTED_VALUE"""),"Discipleship")</f>
        <v>Discipleship</v>
      </c>
      <c r="G68" s="12"/>
      <c r="H68" s="12"/>
      <c r="I68" s="12"/>
      <c r="J68" s="12" t="str">
        <f ca="1">IFERROR(__xludf.DUMMYFUNCTION("""COMPUTED_VALUE"""),"Prayer")</f>
        <v>Prayer</v>
      </c>
      <c r="K68" s="13">
        <f ca="1">IFERROR(__xludf.DUMMYFUNCTION("""COMPUTED_VALUE"""),41560)</f>
        <v>41560</v>
      </c>
      <c r="L68" s="12"/>
      <c r="M68" s="12"/>
      <c r="N68" s="12" t="str">
        <f ca="1">IFERROR(__xludf.DUMMYFUNCTION("""COMPUTED_VALUE"""),"Table1")</f>
        <v>Table1</v>
      </c>
    </row>
    <row r="69" spans="1:14" ht="15.75" customHeight="1" x14ac:dyDescent="0.35">
      <c r="A69" s="12" t="str">
        <f ca="1">IFERROR(__xludf.DUMMYFUNCTION("""COMPUTED_VALUE"""),"Brammer, Deb")</f>
        <v>Brammer, Deb</v>
      </c>
      <c r="B69" s="12" t="str">
        <f ca="1">IFERROR(__xludf.DUMMYFUNCTION("""COMPUTED_VALUE""")," Deb Brammer")</f>
        <v xml:space="preserve"> Deb Brammer</v>
      </c>
      <c r="C69" s="12" t="str">
        <f ca="1">IFERROR(__xludf.DUMMYFUNCTION("""COMPUTED_VALUE"""),"Moose")</f>
        <v>Moose</v>
      </c>
      <c r="D69" s="4"/>
      <c r="E69" s="12" t="str">
        <f ca="1">IFERROR(__xludf.DUMMYFUNCTION("""COMPUTED_VALUE"""),"Book")</f>
        <v>Book</v>
      </c>
      <c r="F69" s="12" t="str">
        <f ca="1">IFERROR(__xludf.DUMMYFUNCTION("""COMPUTED_VALUE"""),"Children")</f>
        <v>Children</v>
      </c>
      <c r="G69" s="12"/>
      <c r="H69" s="12"/>
      <c r="I69" s="12"/>
      <c r="J69" s="12"/>
      <c r="K69" s="13">
        <f ca="1">IFERROR(__xludf.DUMMYFUNCTION("""COMPUTED_VALUE"""),41164)</f>
        <v>41164</v>
      </c>
      <c r="L69" s="12"/>
      <c r="M69" s="12"/>
      <c r="N69" s="12" t="str">
        <f ca="1">IFERROR(__xludf.DUMMYFUNCTION("""COMPUTED_VALUE"""),"Table1")</f>
        <v>Table1</v>
      </c>
    </row>
    <row r="70" spans="1:14" ht="15.75" customHeight="1" x14ac:dyDescent="0.35">
      <c r="A70" s="12" t="str">
        <f ca="1">IFERROR(__xludf.DUMMYFUNCTION("""COMPUTED_VALUE"""),"Bray, Gerald")</f>
        <v>Bray, Gerald</v>
      </c>
      <c r="B70" s="12" t="str">
        <f ca="1">IFERROR(__xludf.DUMMYFUNCTION("""COMPUTED_VALUE""")," Gerald Bray")</f>
        <v xml:space="preserve"> Gerald Bray</v>
      </c>
      <c r="C70" s="12" t="str">
        <f ca="1">IFERROR(__xludf.DUMMYFUNCTION("""COMPUTED_VALUE"""),"God Has Spoken: A History of Christian Theology")</f>
        <v>God Has Spoken: A History of Christian Theology</v>
      </c>
      <c r="D70" s="4"/>
      <c r="E70" s="12" t="str">
        <f ca="1">IFERROR(__xludf.DUMMYFUNCTION("""COMPUTED_VALUE"""),"Book")</f>
        <v>Book</v>
      </c>
      <c r="F70" s="12" t="str">
        <f ca="1">IFERROR(__xludf.DUMMYFUNCTION("""COMPUTED_VALUE"""),"Theology")</f>
        <v>Theology</v>
      </c>
      <c r="G70" s="12"/>
      <c r="H70" s="12"/>
      <c r="I70" s="12"/>
      <c r="J70" s="12" t="str">
        <f ca="1">IFERROR(__xludf.DUMMYFUNCTION("""COMPUTED_VALUE"""),"History")</f>
        <v>History</v>
      </c>
      <c r="K70" s="13">
        <f ca="1">IFERROR(__xludf.DUMMYFUNCTION("""COMPUTED_VALUE"""),44688)</f>
        <v>44688</v>
      </c>
      <c r="L70" s="12"/>
      <c r="M70" s="12"/>
      <c r="N70" s="12" t="str">
        <f ca="1">IFERROR(__xludf.DUMMYFUNCTION("""COMPUTED_VALUE"""),"Table1")</f>
        <v>Table1</v>
      </c>
    </row>
    <row r="71" spans="1:14" ht="15.75" customHeight="1" x14ac:dyDescent="0.35">
      <c r="A71" s="12" t="str">
        <f ca="1">IFERROR(__xludf.DUMMYFUNCTION("""COMPUTED_VALUE"""),"Bridges, Jerry")</f>
        <v>Bridges, Jerry</v>
      </c>
      <c r="B71" s="12" t="str">
        <f ca="1">IFERROR(__xludf.DUMMYFUNCTION("""COMPUTED_VALUE""")," Jerry Bridges")</f>
        <v xml:space="preserve"> Jerry Bridges</v>
      </c>
      <c r="C71" s="12" t="str">
        <f ca="1">IFERROR(__xludf.DUMMYFUNCTION("""COMPUTED_VALUE"""),"The Crisis of Caring")</f>
        <v>The Crisis of Caring</v>
      </c>
      <c r="D71" s="4"/>
      <c r="E71" s="12" t="str">
        <f ca="1">IFERROR(__xludf.DUMMYFUNCTION("""COMPUTED_VALUE"""),"Book")</f>
        <v>Book</v>
      </c>
      <c r="F71" s="12" t="str">
        <f ca="1">IFERROR(__xludf.DUMMYFUNCTION("""COMPUTED_VALUE"""),"Understanding Mankind")</f>
        <v>Understanding Mankind</v>
      </c>
      <c r="G71" s="12"/>
      <c r="H71" s="12"/>
      <c r="I71" s="12"/>
      <c r="J71" s="12"/>
      <c r="K71" s="13">
        <f ca="1">IFERROR(__xludf.DUMMYFUNCTION("""COMPUTED_VALUE"""),40034)</f>
        <v>40034</v>
      </c>
      <c r="L71" s="12"/>
      <c r="M71" s="12"/>
      <c r="N71" s="12" t="str">
        <f ca="1">IFERROR(__xludf.DUMMYFUNCTION("""COMPUTED_VALUE"""),"Table1")</f>
        <v>Table1</v>
      </c>
    </row>
    <row r="72" spans="1:14" ht="15.75" customHeight="1" x14ac:dyDescent="0.35">
      <c r="A72" s="12" t="str">
        <f ca="1">IFERROR(__xludf.DUMMYFUNCTION("""COMPUTED_VALUE"""),"Bridges, Jerry")</f>
        <v>Bridges, Jerry</v>
      </c>
      <c r="B72" s="12" t="str">
        <f ca="1">IFERROR(__xludf.DUMMYFUNCTION("""COMPUTED_VALUE""")," Jerry Bridges")</f>
        <v xml:space="preserve"> Jerry Bridges</v>
      </c>
      <c r="C72" s="12" t="str">
        <f ca="1">IFERROR(__xludf.DUMMYFUNCTION("""COMPUTED_VALUE"""),"The Discipline of Grace")</f>
        <v>The Discipline of Grace</v>
      </c>
      <c r="D72" s="4"/>
      <c r="E72" s="12" t="str">
        <f ca="1">IFERROR(__xludf.DUMMYFUNCTION("""COMPUTED_VALUE"""),"Book")</f>
        <v>Book</v>
      </c>
      <c r="F72" s="12" t="str">
        <f ca="1">IFERROR(__xludf.DUMMYFUNCTION("""COMPUTED_VALUE"""),"Discipleship")</f>
        <v>Discipleship</v>
      </c>
      <c r="G72" s="12"/>
      <c r="H72" s="12"/>
      <c r="I72" s="12"/>
      <c r="J72" s="12"/>
      <c r="K72" s="13">
        <f ca="1">IFERROR(__xludf.DUMMYFUNCTION("""COMPUTED_VALUE"""),41072)</f>
        <v>41072</v>
      </c>
      <c r="L72" s="12"/>
      <c r="M72" s="12"/>
      <c r="N72" s="12" t="str">
        <f ca="1">IFERROR(__xludf.DUMMYFUNCTION("""COMPUTED_VALUE"""),"Table1")</f>
        <v>Table1</v>
      </c>
    </row>
    <row r="73" spans="1:14" ht="15.75" customHeight="1" x14ac:dyDescent="0.35">
      <c r="A73" s="12" t="str">
        <f ca="1">IFERROR(__xludf.DUMMYFUNCTION("""COMPUTED_VALUE"""),"Bridges, Jerry")</f>
        <v>Bridges, Jerry</v>
      </c>
      <c r="B73" s="12" t="str">
        <f ca="1">IFERROR(__xludf.DUMMYFUNCTION("""COMPUTED_VALUE""")," Jerry Bridges")</f>
        <v xml:space="preserve"> Jerry Bridges</v>
      </c>
      <c r="C73" s="12" t="str">
        <f ca="1">IFERROR(__xludf.DUMMYFUNCTION("""COMPUTED_VALUE"""),"The Gospel for Real Life")</f>
        <v>The Gospel for Real Life</v>
      </c>
      <c r="D73" s="4"/>
      <c r="E73" s="12" t="str">
        <f ca="1">IFERROR(__xludf.DUMMYFUNCTION("""COMPUTED_VALUE"""),"Book")</f>
        <v>Book</v>
      </c>
      <c r="F73" s="12" t="str">
        <f ca="1">IFERROR(__xludf.DUMMYFUNCTION("""COMPUTED_VALUE"""),"Discipleship")</f>
        <v>Discipleship</v>
      </c>
      <c r="G73" s="12"/>
      <c r="H73" s="12"/>
      <c r="I73" s="12"/>
      <c r="J73" s="12"/>
      <c r="K73" s="13">
        <f ca="1">IFERROR(__xludf.DUMMYFUNCTION("""COMPUTED_VALUE"""),40951)</f>
        <v>40951</v>
      </c>
      <c r="L73" s="12"/>
      <c r="M73" s="12"/>
      <c r="N73" s="12" t="str">
        <f ca="1">IFERROR(__xludf.DUMMYFUNCTION("""COMPUTED_VALUE"""),"Table1")</f>
        <v>Table1</v>
      </c>
    </row>
    <row r="74" spans="1:14" ht="15.75" customHeight="1" x14ac:dyDescent="0.35">
      <c r="A74" s="12" t="str">
        <f ca="1">IFERROR(__xludf.DUMMYFUNCTION("""COMPUTED_VALUE"""),"Bridges, Jerry")</f>
        <v>Bridges, Jerry</v>
      </c>
      <c r="B74" s="12" t="str">
        <f ca="1">IFERROR(__xludf.DUMMYFUNCTION("""COMPUTED_VALUE""")," Jerry Bridges")</f>
        <v xml:space="preserve"> Jerry Bridges</v>
      </c>
      <c r="C74" s="12" t="str">
        <f ca="1">IFERROR(__xludf.DUMMYFUNCTION("""COMPUTED_VALUE"""),"The Practice of Godliness")</f>
        <v>The Practice of Godliness</v>
      </c>
      <c r="D74" s="4"/>
      <c r="E74" s="12" t="str">
        <f ca="1">IFERROR(__xludf.DUMMYFUNCTION("""COMPUTED_VALUE"""),"Book")</f>
        <v>Book</v>
      </c>
      <c r="F74" s="12" t="str">
        <f ca="1">IFERROR(__xludf.DUMMYFUNCTION("""COMPUTED_VALUE"""),"Discipleship")</f>
        <v>Discipleship</v>
      </c>
      <c r="G74" s="12"/>
      <c r="H74" s="12"/>
      <c r="I74" s="12"/>
      <c r="J74" s="12"/>
      <c r="K74" s="13">
        <f ca="1">IFERROR(__xludf.DUMMYFUNCTION("""COMPUTED_VALUE"""),40034)</f>
        <v>40034</v>
      </c>
      <c r="L74" s="12"/>
      <c r="M74" s="12"/>
      <c r="N74" s="12" t="str">
        <f ca="1">IFERROR(__xludf.DUMMYFUNCTION("""COMPUTED_VALUE"""),"Table1")</f>
        <v>Table1</v>
      </c>
    </row>
    <row r="75" spans="1:14" ht="15.75" customHeight="1" x14ac:dyDescent="0.35">
      <c r="A75" s="12" t="str">
        <f ca="1">IFERROR(__xludf.DUMMYFUNCTION("""COMPUTED_VALUE"""),"Bridges, Jerry")</f>
        <v>Bridges, Jerry</v>
      </c>
      <c r="B75" s="12" t="str">
        <f ca="1">IFERROR(__xludf.DUMMYFUNCTION("""COMPUTED_VALUE""")," Jerry Bridges")</f>
        <v xml:space="preserve"> Jerry Bridges</v>
      </c>
      <c r="C75" s="12" t="str">
        <f ca="1">IFERROR(__xludf.DUMMYFUNCTION("""COMPUTED_VALUE"""),"The Pursuit of Holiness")</f>
        <v>The Pursuit of Holiness</v>
      </c>
      <c r="D75" s="4"/>
      <c r="E75" s="12" t="str">
        <f ca="1">IFERROR(__xludf.DUMMYFUNCTION("""COMPUTED_VALUE"""),"Book")</f>
        <v>Book</v>
      </c>
      <c r="F75" s="12" t="str">
        <f ca="1">IFERROR(__xludf.DUMMYFUNCTION("""COMPUTED_VALUE"""),"Discipleship")</f>
        <v>Discipleship</v>
      </c>
      <c r="G75" s="12"/>
      <c r="H75" s="12"/>
      <c r="I75" s="12"/>
      <c r="J75" s="12"/>
      <c r="K75" s="13">
        <f ca="1">IFERROR(__xludf.DUMMYFUNCTION("""COMPUTED_VALUE"""),40247)</f>
        <v>40247</v>
      </c>
      <c r="L75" s="12"/>
      <c r="M75" s="12"/>
      <c r="N75" s="12" t="str">
        <f ca="1">IFERROR(__xludf.DUMMYFUNCTION("""COMPUTED_VALUE"""),"Table1")</f>
        <v>Table1</v>
      </c>
    </row>
    <row r="76" spans="1:14" ht="15.75" customHeight="1" x14ac:dyDescent="0.35">
      <c r="A76" s="12" t="str">
        <f ca="1">IFERROR(__xludf.DUMMYFUNCTION("""COMPUTED_VALUE"""),"Bridges, Jerry")</f>
        <v>Bridges, Jerry</v>
      </c>
      <c r="B76" s="12" t="str">
        <f ca="1">IFERROR(__xludf.DUMMYFUNCTION("""COMPUTED_VALUE""")," Jerry Bridges")</f>
        <v xml:space="preserve"> Jerry Bridges</v>
      </c>
      <c r="C76" s="12" t="str">
        <f ca="1">IFERROR(__xludf.DUMMYFUNCTION("""COMPUTED_VALUE"""),"Respectable Sins: Confronting the Sins We Tolerate")</f>
        <v>Respectable Sins: Confronting the Sins We Tolerate</v>
      </c>
      <c r="D76" s="4"/>
      <c r="E76" s="12" t="str">
        <f ca="1">IFERROR(__xludf.DUMMYFUNCTION("""COMPUTED_VALUE"""),"Book")</f>
        <v>Book</v>
      </c>
      <c r="F76" s="12" t="str">
        <f ca="1">IFERROR(__xludf.DUMMYFUNCTION("""COMPUTED_VALUE"""),"Discipleship")</f>
        <v>Discipleship</v>
      </c>
      <c r="G76" s="12"/>
      <c r="H76" s="12"/>
      <c r="I76" s="12"/>
      <c r="J76" s="12" t="str">
        <f ca="1">IFERROR(__xludf.DUMMYFUNCTION("""COMPUTED_VALUE"""),"Sin")</f>
        <v>Sin</v>
      </c>
      <c r="K76" s="13">
        <f ca="1">IFERROR(__xludf.DUMMYFUNCTION("""COMPUTED_VALUE"""),40247)</f>
        <v>40247</v>
      </c>
      <c r="L76" s="12"/>
      <c r="M76" s="12"/>
      <c r="N76" s="12" t="str">
        <f ca="1">IFERROR(__xludf.DUMMYFUNCTION("""COMPUTED_VALUE"""),"Table1")</f>
        <v>Table1</v>
      </c>
    </row>
    <row r="77" spans="1:14" ht="15.75" customHeight="1" x14ac:dyDescent="0.35">
      <c r="A77" s="12" t="str">
        <f ca="1">IFERROR(__xludf.DUMMYFUNCTION("""COMPUTED_VALUE"""),"Bridges, Jerry")</f>
        <v>Bridges, Jerry</v>
      </c>
      <c r="B77" s="12" t="str">
        <f ca="1">IFERROR(__xludf.DUMMYFUNCTION("""COMPUTED_VALUE""")," Jerry Bridges")</f>
        <v xml:space="preserve"> Jerry Bridges</v>
      </c>
      <c r="C77" s="12" t="str">
        <f ca="1">IFERROR(__xludf.DUMMYFUNCTION("""COMPUTED_VALUE"""),"Transforming Grace Living Confidently in God's Unfailing Love")</f>
        <v>Transforming Grace Living Confidently in God's Unfailing Love</v>
      </c>
      <c r="D77" s="4"/>
      <c r="E77" s="12" t="str">
        <f ca="1">IFERROR(__xludf.DUMMYFUNCTION("""COMPUTED_VALUE"""),"Book")</f>
        <v>Book</v>
      </c>
      <c r="F77" s="12" t="str">
        <f ca="1">IFERROR(__xludf.DUMMYFUNCTION("""COMPUTED_VALUE"""),"Discipleship")</f>
        <v>Discipleship</v>
      </c>
      <c r="G77" s="12"/>
      <c r="H77" s="12"/>
      <c r="I77" s="12"/>
      <c r="J77" s="12"/>
      <c r="K77" s="13">
        <f ca="1">IFERROR(__xludf.DUMMYFUNCTION("""COMPUTED_VALUE"""),40188)</f>
        <v>40188</v>
      </c>
      <c r="L77" s="12"/>
      <c r="M77" s="12"/>
      <c r="N77" s="12" t="str">
        <f ca="1">IFERROR(__xludf.DUMMYFUNCTION("""COMPUTED_VALUE"""),"Table1")</f>
        <v>Table1</v>
      </c>
    </row>
    <row r="78" spans="1:14" ht="15.75" customHeight="1" x14ac:dyDescent="0.35">
      <c r="A78" s="12" t="str">
        <f ca="1">IFERROR(__xludf.DUMMYFUNCTION("""COMPUTED_VALUE"""),"Bridges, Jerry")</f>
        <v>Bridges, Jerry</v>
      </c>
      <c r="B78" s="12" t="str">
        <f ca="1">IFERROR(__xludf.DUMMYFUNCTION("""COMPUTED_VALUE""")," Jerry Bridges")</f>
        <v xml:space="preserve"> Jerry Bridges</v>
      </c>
      <c r="C78" s="12" t="str">
        <f ca="1">IFERROR(__xludf.DUMMYFUNCTION("""COMPUTED_VALUE"""),"Transforming Power of the Gospel")</f>
        <v>Transforming Power of the Gospel</v>
      </c>
      <c r="D78" s="4"/>
      <c r="E78" s="12" t="str">
        <f ca="1">IFERROR(__xludf.DUMMYFUNCTION("""COMPUTED_VALUE"""),"Book")</f>
        <v>Book</v>
      </c>
      <c r="F78" s="12" t="str">
        <f ca="1">IFERROR(__xludf.DUMMYFUNCTION("""COMPUTED_VALUE"""),"Discipleship")</f>
        <v>Discipleship</v>
      </c>
      <c r="G78" s="12"/>
      <c r="H78" s="12"/>
      <c r="I78" s="12"/>
      <c r="J78" s="12"/>
      <c r="K78" s="13">
        <f ca="1">IFERROR(__xludf.DUMMYFUNCTION("""COMPUTED_VALUE"""),41530)</f>
        <v>41530</v>
      </c>
      <c r="L78" s="12"/>
      <c r="M78" s="12"/>
      <c r="N78" s="12" t="str">
        <f ca="1">IFERROR(__xludf.DUMMYFUNCTION("""COMPUTED_VALUE"""),"Table1")</f>
        <v>Table1</v>
      </c>
    </row>
    <row r="79" spans="1:14" ht="15.75" customHeight="1" x14ac:dyDescent="0.35">
      <c r="A79" s="12" t="str">
        <f ca="1">IFERROR(__xludf.DUMMYFUNCTION("""COMPUTED_VALUE"""),"Bridges, Jerry")</f>
        <v>Bridges, Jerry</v>
      </c>
      <c r="B79" s="12" t="str">
        <f ca="1">IFERROR(__xludf.DUMMYFUNCTION("""COMPUTED_VALUE""")," Jerry Bridges")</f>
        <v xml:space="preserve"> Jerry Bridges</v>
      </c>
      <c r="C79" s="12" t="str">
        <f ca="1">IFERROR(__xludf.DUMMYFUNCTION("""COMPUTED_VALUE"""),"Trusting God Even When Life Hurts")</f>
        <v>Trusting God Even When Life Hurts</v>
      </c>
      <c r="D79" s="4"/>
      <c r="E79" s="12" t="str">
        <f ca="1">IFERROR(__xludf.DUMMYFUNCTION("""COMPUTED_VALUE"""),"Book")</f>
        <v>Book</v>
      </c>
      <c r="F79" s="12" t="str">
        <f ca="1">IFERROR(__xludf.DUMMYFUNCTION("""COMPUTED_VALUE"""),"Understanding Mankind")</f>
        <v>Understanding Mankind</v>
      </c>
      <c r="G79" s="12"/>
      <c r="H79" s="12"/>
      <c r="I79" s="12"/>
      <c r="J79" s="12" t="str">
        <f ca="1">IFERROR(__xludf.DUMMYFUNCTION("""COMPUTED_VALUE"""),"Suffering")</f>
        <v>Suffering</v>
      </c>
      <c r="K79" s="13">
        <f ca="1">IFERROR(__xludf.DUMMYFUNCTION("""COMPUTED_VALUE"""),40827)</f>
        <v>40827</v>
      </c>
      <c r="L79" s="12"/>
      <c r="M79" s="12"/>
      <c r="N79" s="12" t="str">
        <f ca="1">IFERROR(__xludf.DUMMYFUNCTION("""COMPUTED_VALUE"""),"Table1")</f>
        <v>Table1</v>
      </c>
    </row>
    <row r="80" spans="1:14" ht="15.75" customHeight="1" x14ac:dyDescent="0.35">
      <c r="A80" s="12" t="str">
        <f ca="1">IFERROR(__xludf.DUMMYFUNCTION("""COMPUTED_VALUE"""),"Brooks, Thomas")</f>
        <v>Brooks, Thomas</v>
      </c>
      <c r="B80" s="12" t="str">
        <f ca="1">IFERROR(__xludf.DUMMYFUNCTION("""COMPUTED_VALUE""")," Thomas Brooks")</f>
        <v xml:space="preserve"> Thomas Brooks</v>
      </c>
      <c r="C80" s="12" t="str">
        <f ca="1">IFERROR(__xludf.DUMMYFUNCTION("""COMPUTED_VALUE"""),"Precious Remedies Against Satan's Devices")</f>
        <v>Precious Remedies Against Satan's Devices</v>
      </c>
      <c r="D80" s="4"/>
      <c r="E80" s="12" t="str">
        <f ca="1">IFERROR(__xludf.DUMMYFUNCTION("""COMPUTED_VALUE"""),"Book")</f>
        <v>Book</v>
      </c>
      <c r="F80" s="12" t="str">
        <f ca="1">IFERROR(__xludf.DUMMYFUNCTION("""COMPUTED_VALUE"""),"Theology")</f>
        <v>Theology</v>
      </c>
      <c r="G80" s="12" t="str">
        <f ca="1">IFERROR(__xludf.DUMMYFUNCTION("""COMPUTED_VALUE"""),"Discipleship")</f>
        <v>Discipleship</v>
      </c>
      <c r="H80" s="12" t="str">
        <f ca="1">IFERROR(__xludf.DUMMYFUNCTION("""COMPUTED_VALUE"""),"Puritans")</f>
        <v>Puritans</v>
      </c>
      <c r="I80" s="12"/>
      <c r="J80" s="12"/>
      <c r="K80" s="13"/>
      <c r="L80" s="12"/>
      <c r="M80" s="12"/>
      <c r="N80" s="12" t="str">
        <f ca="1">IFERROR(__xludf.DUMMYFUNCTION("""COMPUTED_VALUE"""),"Table1")</f>
        <v>Table1</v>
      </c>
    </row>
    <row r="81" spans="1:14" ht="15.75" customHeight="1" x14ac:dyDescent="0.35">
      <c r="A81" s="12" t="str">
        <f ca="1">IFERROR(__xludf.DUMMYFUNCTION("""COMPUTED_VALUE"""),"Brown, Craig R")</f>
        <v>Brown, Craig R</v>
      </c>
      <c r="B81" s="12" t="str">
        <f ca="1">IFERROR(__xludf.DUMMYFUNCTION("""COMPUTED_VALUE""")," Craig R Brown")</f>
        <v xml:space="preserve"> Craig R Brown</v>
      </c>
      <c r="C81" s="12" t="str">
        <f ca="1">IFERROR(__xludf.DUMMYFUNCTION("""COMPUTED_VALUE"""),"The Five Dilemmas of Calvanism")</f>
        <v>The Five Dilemmas of Calvanism</v>
      </c>
      <c r="D81" s="4"/>
      <c r="E81" s="12" t="str">
        <f ca="1">IFERROR(__xludf.DUMMYFUNCTION("""COMPUTED_VALUE"""),"Book")</f>
        <v>Book</v>
      </c>
      <c r="F81" s="12" t="str">
        <f ca="1">IFERROR(__xludf.DUMMYFUNCTION("""COMPUTED_VALUE"""),"Theology")</f>
        <v>Theology</v>
      </c>
      <c r="G81" s="12"/>
      <c r="H81" s="12"/>
      <c r="I81" s="12"/>
      <c r="J81" s="12" t="str">
        <f ca="1">IFERROR(__xludf.DUMMYFUNCTION("""COMPUTED_VALUE"""),"Calvinism")</f>
        <v>Calvinism</v>
      </c>
      <c r="K81" s="13">
        <f ca="1">IFERROR(__xludf.DUMMYFUNCTION("""COMPUTED_VALUE"""),40034)</f>
        <v>40034</v>
      </c>
      <c r="L81" s="12"/>
      <c r="M81" s="12"/>
      <c r="N81" s="12" t="str">
        <f ca="1">IFERROR(__xludf.DUMMYFUNCTION("""COMPUTED_VALUE"""),"Table1")</f>
        <v>Table1</v>
      </c>
    </row>
    <row r="82" spans="1:14" ht="15.75" customHeight="1" x14ac:dyDescent="0.35">
      <c r="A82" s="12" t="str">
        <f ca="1">IFERROR(__xludf.DUMMYFUNCTION("""COMPUTED_VALUE"""),"Brown, John and Brian Wright")</f>
        <v>Brown, John and Brian Wright</v>
      </c>
      <c r="B82" s="12" t="str">
        <f ca="1">IFERROR(__xludf.DUMMYFUNCTION("""COMPUTED_VALUE"""),"#N/A")</f>
        <v>#N/A</v>
      </c>
      <c r="C82" s="12" t="str">
        <f ca="1">IFERROR(__xludf.DUMMYFUNCTION("""COMPUTED_VALUE"""),"Habakkuk's Song")</f>
        <v>Habakkuk's Song</v>
      </c>
      <c r="D82" s="4" t="str">
        <f ca="1">IFERROR(__xludf.DUMMYFUNCTION("""COMPUTED_VALUE"""),"God's Daring Dozen: A Minor Prophet Series")</f>
        <v>God's Daring Dozen: A Minor Prophet Series</v>
      </c>
      <c r="E82" s="12" t="str">
        <f ca="1">IFERROR(__xludf.DUMMYFUNCTION("""COMPUTED_VALUE"""),"Book")</f>
        <v>Book</v>
      </c>
      <c r="F82" s="12" t="str">
        <f ca="1">IFERROR(__xludf.DUMMYFUNCTION("""COMPUTED_VALUE"""),"Children")</f>
        <v>Children</v>
      </c>
      <c r="G82" s="12"/>
      <c r="H82" s="12"/>
      <c r="I82" s="12"/>
      <c r="J82" s="12" t="str">
        <f ca="1">IFERROR(__xludf.DUMMYFUNCTION("""COMPUTED_VALUE"""),"Bible Stories")</f>
        <v>Bible Stories</v>
      </c>
      <c r="K82" s="13">
        <f ca="1">IFERROR(__xludf.DUMMYFUNCTION("""COMPUTED_VALUE"""),44534)</f>
        <v>44534</v>
      </c>
      <c r="L82" s="12"/>
      <c r="M82" s="12"/>
      <c r="N82" s="12" t="str">
        <f ca="1">IFERROR(__xludf.DUMMYFUNCTION("""COMPUTED_VALUE"""),"Table1")</f>
        <v>Table1</v>
      </c>
    </row>
    <row r="83" spans="1:14" ht="15.75" customHeight="1" x14ac:dyDescent="0.35">
      <c r="A83" s="12" t="str">
        <f ca="1">IFERROR(__xludf.DUMMYFUNCTION("""COMPUTED_VALUE"""),"Brown, John and Brian Wright")</f>
        <v>Brown, John and Brian Wright</v>
      </c>
      <c r="B83" s="12" t="str">
        <f ca="1">IFERROR(__xludf.DUMMYFUNCTION("""COMPUTED_VALUE"""),"#N/A")</f>
        <v>#N/A</v>
      </c>
      <c r="C83" s="12" t="str">
        <f ca="1">IFERROR(__xludf.DUMMYFUNCTION("""COMPUTED_VALUE"""),"Haggai's Feast")</f>
        <v>Haggai's Feast</v>
      </c>
      <c r="D83" s="4" t="str">
        <f ca="1">IFERROR(__xludf.DUMMYFUNCTION("""COMPUTED_VALUE"""),"God's Daring Dozen: A Minor Prophet Series")</f>
        <v>God's Daring Dozen: A Minor Prophet Series</v>
      </c>
      <c r="E83" s="12" t="str">
        <f ca="1">IFERROR(__xludf.DUMMYFUNCTION("""COMPUTED_VALUE"""),"Book")</f>
        <v>Book</v>
      </c>
      <c r="F83" s="12" t="str">
        <f ca="1">IFERROR(__xludf.DUMMYFUNCTION("""COMPUTED_VALUE"""),"Children")</f>
        <v>Children</v>
      </c>
      <c r="G83" s="12"/>
      <c r="H83" s="12"/>
      <c r="I83" s="12"/>
      <c r="J83" s="12" t="str">
        <f ca="1">IFERROR(__xludf.DUMMYFUNCTION("""COMPUTED_VALUE"""),"Bible Stories")</f>
        <v>Bible Stories</v>
      </c>
      <c r="K83" s="13">
        <f ca="1">IFERROR(__xludf.DUMMYFUNCTION("""COMPUTED_VALUE"""),44534)</f>
        <v>44534</v>
      </c>
      <c r="L83" s="12"/>
      <c r="M83" s="12"/>
      <c r="N83" s="12" t="str">
        <f ca="1">IFERROR(__xludf.DUMMYFUNCTION("""COMPUTED_VALUE"""),"Table1")</f>
        <v>Table1</v>
      </c>
    </row>
    <row r="84" spans="1:14" ht="15.75" customHeight="1" x14ac:dyDescent="0.35">
      <c r="A84" s="12" t="str">
        <f ca="1">IFERROR(__xludf.DUMMYFUNCTION("""COMPUTED_VALUE"""),"Brown, John and Brian Wright")</f>
        <v>Brown, John and Brian Wright</v>
      </c>
      <c r="B84" s="12" t="str">
        <f ca="1">IFERROR(__xludf.DUMMYFUNCTION("""COMPUTED_VALUE"""),"#N/A")</f>
        <v>#N/A</v>
      </c>
      <c r="C84" s="12" t="str">
        <f ca="1">IFERROR(__xludf.DUMMYFUNCTION("""COMPUTED_VALUE"""),"Obadiah and the Edomites")</f>
        <v>Obadiah and the Edomites</v>
      </c>
      <c r="D84" s="4" t="str">
        <f ca="1">IFERROR(__xludf.DUMMYFUNCTION("""COMPUTED_VALUE"""),"Go")</f>
        <v>Go</v>
      </c>
      <c r="E84" s="12" t="str">
        <f ca="1">IFERROR(__xludf.DUMMYFUNCTION("""COMPUTED_VALUE"""),"Book")</f>
        <v>Book</v>
      </c>
      <c r="F84" s="12" t="str">
        <f ca="1">IFERROR(__xludf.DUMMYFUNCTION("""COMPUTED_VALUE"""),"Children")</f>
        <v>Children</v>
      </c>
      <c r="G84" s="12"/>
      <c r="H84" s="12"/>
      <c r="I84" s="12"/>
      <c r="J84" s="12" t="str">
        <f ca="1">IFERROR(__xludf.DUMMYFUNCTION("""COMPUTED_VALUE"""),"Bible Stories")</f>
        <v>Bible Stories</v>
      </c>
      <c r="K84" s="13">
        <f ca="1">IFERROR(__xludf.DUMMYFUNCTION("""COMPUTED_VALUE"""),44534)</f>
        <v>44534</v>
      </c>
      <c r="L84" s="12"/>
      <c r="M84" s="12"/>
      <c r="N84" s="12" t="str">
        <f ca="1">IFERROR(__xludf.DUMMYFUNCTION("""COMPUTED_VALUE"""),"Table1")</f>
        <v>Table1</v>
      </c>
    </row>
    <row r="85" spans="1:14" ht="15.75" customHeight="1" x14ac:dyDescent="0.35">
      <c r="A85" s="12" t="str">
        <f ca="1">IFERROR(__xludf.DUMMYFUNCTION("""COMPUTED_VALUE"""),"Brown, John and Brian Wright")</f>
        <v>Brown, John and Brian Wright</v>
      </c>
      <c r="B85" s="12" t="str">
        <f ca="1">IFERROR(__xludf.DUMMYFUNCTION("""COMPUTED_VALUE"""),"#N/A")</f>
        <v>#N/A</v>
      </c>
      <c r="C85" s="12" t="str">
        <f ca="1">IFERROR(__xludf.DUMMYFUNCTION("""COMPUTED_VALUE"""),"Zephaniah's Hero")</f>
        <v>Zephaniah's Hero</v>
      </c>
      <c r="D85" s="4" t="str">
        <f ca="1">IFERROR(__xludf.DUMMYFUNCTION("""COMPUTED_VALUE"""),"God's Daring Dozen: A Minor Prophet Series")</f>
        <v>God's Daring Dozen: A Minor Prophet Series</v>
      </c>
      <c r="E85" s="12" t="str">
        <f ca="1">IFERROR(__xludf.DUMMYFUNCTION("""COMPUTED_VALUE"""),"Book")</f>
        <v>Book</v>
      </c>
      <c r="F85" s="12" t="str">
        <f ca="1">IFERROR(__xludf.DUMMYFUNCTION("""COMPUTED_VALUE"""),"Children")</f>
        <v>Children</v>
      </c>
      <c r="G85" s="12"/>
      <c r="H85" s="12"/>
      <c r="I85" s="12"/>
      <c r="J85" s="12" t="str">
        <f ca="1">IFERROR(__xludf.DUMMYFUNCTION("""COMPUTED_VALUE"""),"Bible Stories")</f>
        <v>Bible Stories</v>
      </c>
      <c r="K85" s="13">
        <f ca="1">IFERROR(__xludf.DUMMYFUNCTION("""COMPUTED_VALUE"""),44534)</f>
        <v>44534</v>
      </c>
      <c r="L85" s="12"/>
      <c r="M85" s="12"/>
      <c r="N85" s="12" t="str">
        <f ca="1">IFERROR(__xludf.DUMMYFUNCTION("""COMPUTED_VALUE"""),"Table1")</f>
        <v>Table1</v>
      </c>
    </row>
    <row r="86" spans="1:14" ht="15.75" customHeight="1" x14ac:dyDescent="0.35">
      <c r="A86" s="12" t="str">
        <f ca="1">IFERROR(__xludf.DUMMYFUNCTION("""COMPUTED_VALUE"""),"Brownback, Lydia")</f>
        <v>Brownback, Lydia</v>
      </c>
      <c r="B86" s="12" t="str">
        <f ca="1">IFERROR(__xludf.DUMMYFUNCTION("""COMPUTED_VALUE""")," Lydia Brownback")</f>
        <v xml:space="preserve"> Lydia Brownback</v>
      </c>
      <c r="C86" s="12" t="str">
        <f ca="1">IFERROR(__xludf.DUMMYFUNCTION("""COMPUTED_VALUE"""),"Fine China is for Single Women Too")</f>
        <v>Fine China is for Single Women Too</v>
      </c>
      <c r="D86" s="4"/>
      <c r="E86" s="12" t="str">
        <f ca="1">IFERROR(__xludf.DUMMYFUNCTION("""COMPUTED_VALUE"""),"Book")</f>
        <v>Book</v>
      </c>
      <c r="F86" s="12" t="str">
        <f ca="1">IFERROR(__xludf.DUMMYFUNCTION("""COMPUTED_VALUE"""),"Understanding Mankind")</f>
        <v>Understanding Mankind</v>
      </c>
      <c r="G86" s="12"/>
      <c r="H86" s="12"/>
      <c r="I86" s="12"/>
      <c r="J86" s="12" t="str">
        <f ca="1">IFERROR(__xludf.DUMMYFUNCTION("""COMPUTED_VALUE"""),"Singleness")</f>
        <v>Singleness</v>
      </c>
      <c r="K86" s="13"/>
      <c r="L86" s="12"/>
      <c r="M86" s="12"/>
      <c r="N86" s="12" t="str">
        <f ca="1">IFERROR(__xludf.DUMMYFUNCTION("""COMPUTED_VALUE"""),"Table1")</f>
        <v>Table1</v>
      </c>
    </row>
    <row r="87" spans="1:14" ht="15.75" customHeight="1" x14ac:dyDescent="0.35">
      <c r="A87" s="12" t="str">
        <f ca="1">IFERROR(__xludf.DUMMYFUNCTION("""COMPUTED_VALUE"""),"Bruce, A.B.")</f>
        <v>Bruce, A.B.</v>
      </c>
      <c r="B87" s="12" t="str">
        <f ca="1">IFERROR(__xludf.DUMMYFUNCTION("""COMPUTED_VALUE""")," A.B. Bruce")</f>
        <v xml:space="preserve"> A.B. Bruce</v>
      </c>
      <c r="C87" s="12" t="str">
        <f ca="1">IFERROR(__xludf.DUMMYFUNCTION("""COMPUTED_VALUE"""),"The Training of the Twelve")</f>
        <v>The Training of the Twelve</v>
      </c>
      <c r="D87" s="4"/>
      <c r="E87" s="12" t="str">
        <f ca="1">IFERROR(__xludf.DUMMYFUNCTION("""COMPUTED_VALUE"""),"Book")</f>
        <v>Book</v>
      </c>
      <c r="F87" s="12" t="str">
        <f ca="1">IFERROR(__xludf.DUMMYFUNCTION("""COMPUTED_VALUE"""),"Discipleship")</f>
        <v>Discipleship</v>
      </c>
      <c r="G87" s="12"/>
      <c r="H87" s="12"/>
      <c r="I87" s="12"/>
      <c r="J87" s="12"/>
      <c r="K87" s="13">
        <f ca="1">IFERROR(__xludf.DUMMYFUNCTION("""COMPUTED_VALUE"""),40034)</f>
        <v>40034</v>
      </c>
      <c r="L87" s="12"/>
      <c r="M87" s="12"/>
      <c r="N87" s="12" t="str">
        <f ca="1">IFERROR(__xludf.DUMMYFUNCTION("""COMPUTED_VALUE"""),"Table1")</f>
        <v>Table1</v>
      </c>
    </row>
    <row r="88" spans="1:14" ht="15.75" customHeight="1" x14ac:dyDescent="0.35">
      <c r="A88" s="12" t="str">
        <f ca="1">IFERROR(__xludf.DUMMYFUNCTION("""COMPUTED_VALUE"""),"Bruss, Kelley Deegan")</f>
        <v>Bruss, Kelley Deegan</v>
      </c>
      <c r="B88" s="12" t="str">
        <f ca="1">IFERROR(__xludf.DUMMYFUNCTION("""COMPUTED_VALUE""")," Kelley Deegan Bruss")</f>
        <v xml:space="preserve"> Kelley Deegan Bruss</v>
      </c>
      <c r="C88" s="12" t="str">
        <f ca="1">IFERROR(__xludf.DUMMYFUNCTION("""COMPUTED_VALUE"""),"Ira Sankey: Singing the Gospel")</f>
        <v>Ira Sankey: Singing the Gospel</v>
      </c>
      <c r="D88" s="4"/>
      <c r="E88" s="12" t="str">
        <f ca="1">IFERROR(__xludf.DUMMYFUNCTION("""COMPUTED_VALUE"""),"Book")</f>
        <v>Book</v>
      </c>
      <c r="F88" s="12" t="str">
        <f ca="1">IFERROR(__xludf.DUMMYFUNCTION("""COMPUTED_VALUE"""),"Children")</f>
        <v>Children</v>
      </c>
      <c r="G88" s="12"/>
      <c r="H88" s="12"/>
      <c r="I88" s="12"/>
      <c r="J88" s="12"/>
      <c r="K88" s="13">
        <f ca="1">IFERROR(__xludf.DUMMYFUNCTION("""COMPUTED_VALUE"""),41164)</f>
        <v>41164</v>
      </c>
      <c r="L88" s="12"/>
      <c r="M88" s="12"/>
      <c r="N88" s="12" t="str">
        <f ca="1">IFERROR(__xludf.DUMMYFUNCTION("""COMPUTED_VALUE"""),"Table1")</f>
        <v>Table1</v>
      </c>
    </row>
    <row r="89" spans="1:14" ht="15.75" customHeight="1" x14ac:dyDescent="0.35">
      <c r="A89" s="12" t="str">
        <f ca="1">IFERROR(__xludf.DUMMYFUNCTION("""COMPUTED_VALUE"""),"Bull, Josiah")</f>
        <v>Bull, Josiah</v>
      </c>
      <c r="B89" s="12" t="str">
        <f ca="1">IFERROR(__xludf.DUMMYFUNCTION("""COMPUTED_VALUE""")," Josiah Bull")</f>
        <v xml:space="preserve"> Josiah Bull</v>
      </c>
      <c r="C89" s="12" t="str">
        <f ca="1">IFERROR(__xludf.DUMMYFUNCTION("""COMPUTED_VALUE"""),"The Life of John Newton")</f>
        <v>The Life of John Newton</v>
      </c>
      <c r="D89" s="4"/>
      <c r="E89" s="12" t="str">
        <f ca="1">IFERROR(__xludf.DUMMYFUNCTION("""COMPUTED_VALUE"""),"Book")</f>
        <v>Book</v>
      </c>
      <c r="F89" s="12" t="str">
        <f ca="1">IFERROR(__xludf.DUMMYFUNCTION("""COMPUTED_VALUE"""),"Biography")</f>
        <v>Biography</v>
      </c>
      <c r="G89" s="12"/>
      <c r="H89" s="12"/>
      <c r="I89" s="12"/>
      <c r="J89" s="12"/>
      <c r="K89" s="13">
        <f ca="1">IFERROR(__xludf.DUMMYFUNCTION("""COMPUTED_VALUE"""),43046)</f>
        <v>43046</v>
      </c>
      <c r="L89" s="12"/>
      <c r="M89" s="12"/>
      <c r="N89" s="12" t="str">
        <f ca="1">IFERROR(__xludf.DUMMYFUNCTION("""COMPUTED_VALUE"""),"Table1")</f>
        <v>Table1</v>
      </c>
    </row>
    <row r="90" spans="1:14" ht="15.75" customHeight="1" x14ac:dyDescent="0.35">
      <c r="A90" s="12" t="str">
        <f ca="1">IFERROR(__xludf.DUMMYFUNCTION("""COMPUTED_VALUE"""),"Bunyan, John")</f>
        <v>Bunyan, John</v>
      </c>
      <c r="B90" s="12" t="str">
        <f ca="1">IFERROR(__xludf.DUMMYFUNCTION("""COMPUTED_VALUE""")," John Bunyan")</f>
        <v xml:space="preserve"> John Bunyan</v>
      </c>
      <c r="C90" s="12" t="str">
        <f ca="1">IFERROR(__xludf.DUMMYFUNCTION("""COMPUTED_VALUE"""),"Grace Abounding to the Chief of Sinners")</f>
        <v>Grace Abounding to the Chief of Sinners</v>
      </c>
      <c r="D90" s="4"/>
      <c r="E90" s="12" t="str">
        <f ca="1">IFERROR(__xludf.DUMMYFUNCTION("""COMPUTED_VALUE"""),"Book")</f>
        <v>Book</v>
      </c>
      <c r="F90" s="12" t="str">
        <f ca="1">IFERROR(__xludf.DUMMYFUNCTION("""COMPUTED_VALUE"""),"Biography")</f>
        <v>Biography</v>
      </c>
      <c r="G90" s="12"/>
      <c r="H90" s="12"/>
      <c r="I90" s="12"/>
      <c r="J90" s="12"/>
      <c r="K90" s="13">
        <f ca="1">IFERROR(__xludf.DUMMYFUNCTION("""COMPUTED_VALUE"""),40035)</f>
        <v>40035</v>
      </c>
      <c r="L90" s="12"/>
      <c r="M90" s="12"/>
      <c r="N90" s="12" t="str">
        <f ca="1">IFERROR(__xludf.DUMMYFUNCTION("""COMPUTED_VALUE"""),"Table1")</f>
        <v>Table1</v>
      </c>
    </row>
    <row r="91" spans="1:14" ht="15.75" customHeight="1" x14ac:dyDescent="0.35">
      <c r="A91" s="12" t="str">
        <f ca="1">IFERROR(__xludf.DUMMYFUNCTION("""COMPUTED_VALUE"""),"Bunyan, John")</f>
        <v>Bunyan, John</v>
      </c>
      <c r="B91" s="12" t="str">
        <f ca="1">IFERROR(__xludf.DUMMYFUNCTION("""COMPUTED_VALUE""")," John Bunyan")</f>
        <v xml:space="preserve"> John Bunyan</v>
      </c>
      <c r="C91" s="12" t="str">
        <f ca="1">IFERROR(__xludf.DUMMYFUNCTION("""COMPUTED_VALUE"""),"The Holy War: The Battle for Mansoul")</f>
        <v>The Holy War: The Battle for Mansoul</v>
      </c>
      <c r="D91" s="4"/>
      <c r="E91" s="12" t="str">
        <f ca="1">IFERROR(__xludf.DUMMYFUNCTION("""COMPUTED_VALUE"""),"Book")</f>
        <v>Book</v>
      </c>
      <c r="F91" s="12" t="str">
        <f ca="1">IFERROR(__xludf.DUMMYFUNCTION("""COMPUTED_VALUE"""),"Children")</f>
        <v>Children</v>
      </c>
      <c r="G91" s="12"/>
      <c r="H91" s="12"/>
      <c r="I91" s="12"/>
      <c r="J91" s="12"/>
      <c r="K91" s="13">
        <f ca="1">IFERROR(__xludf.DUMMYFUNCTION("""COMPUTED_VALUE"""),41346)</f>
        <v>41346</v>
      </c>
      <c r="L91" s="12"/>
      <c r="M91" s="12"/>
      <c r="N91" s="12" t="str">
        <f ca="1">IFERROR(__xludf.DUMMYFUNCTION("""COMPUTED_VALUE"""),"Table1")</f>
        <v>Table1</v>
      </c>
    </row>
    <row r="92" spans="1:14" ht="15.75" customHeight="1" x14ac:dyDescent="0.35">
      <c r="A92" s="12" t="str">
        <f ca="1">IFERROR(__xludf.DUMMYFUNCTION("""COMPUTED_VALUE"""),"Bunyan, John")</f>
        <v>Bunyan, John</v>
      </c>
      <c r="B92" s="12" t="str">
        <f ca="1">IFERROR(__xludf.DUMMYFUNCTION("""COMPUTED_VALUE""")," John Bunyan")</f>
        <v xml:space="preserve"> John Bunyan</v>
      </c>
      <c r="C92" s="12" t="str">
        <f ca="1">IFERROR(__xludf.DUMMYFUNCTION("""COMPUTED_VALUE"""),"Pilgrim's Progress")</f>
        <v>Pilgrim's Progress</v>
      </c>
      <c r="D92" s="4"/>
      <c r="E92" s="12" t="str">
        <f ca="1">IFERROR(__xludf.DUMMYFUNCTION("""COMPUTED_VALUE"""),"Book")</f>
        <v>Book</v>
      </c>
      <c r="F92" s="12" t="str">
        <f ca="1">IFERROR(__xludf.DUMMYFUNCTION("""COMPUTED_VALUE"""),"Fiction")</f>
        <v>Fiction</v>
      </c>
      <c r="G92" s="12"/>
      <c r="H92" s="12"/>
      <c r="I92" s="12"/>
      <c r="J92" s="12"/>
      <c r="K92" s="13">
        <f ca="1">IFERROR(__xludf.DUMMYFUNCTION("""COMPUTED_VALUE"""),40034)</f>
        <v>40034</v>
      </c>
      <c r="L92" s="12"/>
      <c r="M92" s="12"/>
      <c r="N92" s="12" t="str">
        <f ca="1">IFERROR(__xludf.DUMMYFUNCTION("""COMPUTED_VALUE"""),"Table1")</f>
        <v>Table1</v>
      </c>
    </row>
    <row r="93" spans="1:14" ht="15.75" customHeight="1" x14ac:dyDescent="0.35">
      <c r="A93" s="12" t="str">
        <f ca="1">IFERROR(__xludf.DUMMYFUNCTION("""COMPUTED_VALUE"""),"Burk, Denny")</f>
        <v>Burk, Denny</v>
      </c>
      <c r="B93" s="12" t="str">
        <f ca="1">IFERROR(__xludf.DUMMYFUNCTION("""COMPUTED_VALUE""")," Denny Burk")</f>
        <v xml:space="preserve"> Denny Burk</v>
      </c>
      <c r="C93" s="12" t="str">
        <f ca="1">IFERROR(__xludf.DUMMYFUNCTION("""COMPUTED_VALUE"""),"Transforming Homosexuality")</f>
        <v>Transforming Homosexuality</v>
      </c>
      <c r="D93" s="4" t="str">
        <f ca="1">IFERROR(__xludf.DUMMYFUNCTION("""COMPUTED_VALUE"""),"Heath Lambert")</f>
        <v>Heath Lambert</v>
      </c>
      <c r="E93" s="12" t="str">
        <f ca="1">IFERROR(__xludf.DUMMYFUNCTION("""COMPUTED_VALUE"""),"Book")</f>
        <v>Book</v>
      </c>
      <c r="F93" s="12" t="str">
        <f ca="1">IFERROR(__xludf.DUMMYFUNCTION("""COMPUTED_VALUE"""),"Understanding Mankind")</f>
        <v>Understanding Mankind</v>
      </c>
      <c r="G93" s="12"/>
      <c r="H93" s="12"/>
      <c r="I93" s="12"/>
      <c r="J93" s="12" t="str">
        <f ca="1">IFERROR(__xludf.DUMMYFUNCTION("""COMPUTED_VALUE"""),"Homosexuality")</f>
        <v>Homosexuality</v>
      </c>
      <c r="K93" s="13">
        <f ca="1">IFERROR(__xludf.DUMMYFUNCTION("""COMPUTED_VALUE"""),43160)</f>
        <v>43160</v>
      </c>
      <c r="L93" s="12"/>
      <c r="M93" s="12"/>
      <c r="N93" s="12" t="str">
        <f ca="1">IFERROR(__xludf.DUMMYFUNCTION("""COMPUTED_VALUE"""),"Table1")</f>
        <v>Table1</v>
      </c>
    </row>
    <row r="94" spans="1:14" ht="15.75" customHeight="1" x14ac:dyDescent="0.35">
      <c r="A94" s="12" t="str">
        <f ca="1">IFERROR(__xludf.DUMMYFUNCTION("""COMPUTED_VALUE"""),"Burroughs, Jeremiah")</f>
        <v>Burroughs, Jeremiah</v>
      </c>
      <c r="B94" s="12" t="str">
        <f ca="1">IFERROR(__xludf.DUMMYFUNCTION("""COMPUTED_VALUE""")," Jeremiah Burroughs")</f>
        <v xml:space="preserve"> Jeremiah Burroughs</v>
      </c>
      <c r="C94" s="12" t="str">
        <f ca="1">IFERROR(__xludf.DUMMYFUNCTION("""COMPUTED_VALUE"""),"Contentment, Prosperity, and God's Glory")</f>
        <v>Contentment, Prosperity, and God's Glory</v>
      </c>
      <c r="D94" s="4"/>
      <c r="E94" s="12" t="str">
        <f ca="1">IFERROR(__xludf.DUMMYFUNCTION("""COMPUTED_VALUE"""),"Book")</f>
        <v>Book</v>
      </c>
      <c r="F94" s="12" t="str">
        <f ca="1">IFERROR(__xludf.DUMMYFUNCTION("""COMPUTED_VALUE"""),"Discipleship")</f>
        <v>Discipleship</v>
      </c>
      <c r="G94" s="12"/>
      <c r="H94" s="12" t="str">
        <f ca="1">IFERROR(__xludf.DUMMYFUNCTION("""COMPUTED_VALUE"""),"Puritans")</f>
        <v>Puritans</v>
      </c>
      <c r="I94" s="12"/>
      <c r="J94" s="12"/>
      <c r="K94" s="13">
        <f ca="1">IFERROR(__xludf.DUMMYFUNCTION("""COMPUTED_VALUE"""),43704)</f>
        <v>43704</v>
      </c>
      <c r="L94" s="12"/>
      <c r="M94" s="12"/>
      <c r="N94" s="12" t="str">
        <f ca="1">IFERROR(__xludf.DUMMYFUNCTION("""COMPUTED_VALUE"""),"Table1")</f>
        <v>Table1</v>
      </c>
    </row>
    <row r="95" spans="1:14" ht="15.75" customHeight="1" x14ac:dyDescent="0.35">
      <c r="A95" s="12" t="str">
        <f ca="1">IFERROR(__xludf.DUMMYFUNCTION("""COMPUTED_VALUE"""),"Burroughs, Jeremiah")</f>
        <v>Burroughs, Jeremiah</v>
      </c>
      <c r="B95" s="12" t="str">
        <f ca="1">IFERROR(__xludf.DUMMYFUNCTION("""COMPUTED_VALUE""")," Jeremiah Burroughs")</f>
        <v xml:space="preserve"> Jeremiah Burroughs</v>
      </c>
      <c r="C95" s="12" t="str">
        <f ca="1">IFERROR(__xludf.DUMMYFUNCTION("""COMPUTED_VALUE"""),"The Rare Jewel of Christian Contentment")</f>
        <v>The Rare Jewel of Christian Contentment</v>
      </c>
      <c r="D95" s="4"/>
      <c r="E95" s="12" t="str">
        <f ca="1">IFERROR(__xludf.DUMMYFUNCTION("""COMPUTED_VALUE"""),"Book")</f>
        <v>Book</v>
      </c>
      <c r="F95" s="12" t="str">
        <f ca="1">IFERROR(__xludf.DUMMYFUNCTION("""COMPUTED_VALUE"""),"Discipleship")</f>
        <v>Discipleship</v>
      </c>
      <c r="G95" s="12"/>
      <c r="H95" s="12" t="str">
        <f ca="1">IFERROR(__xludf.DUMMYFUNCTION("""COMPUTED_VALUE"""),"Puritans")</f>
        <v>Puritans</v>
      </c>
      <c r="I95" s="12"/>
      <c r="J95" s="12"/>
      <c r="K95" s="13">
        <f ca="1">IFERROR(__xludf.DUMMYFUNCTION("""COMPUTED_VALUE"""),42353)</f>
        <v>42353</v>
      </c>
      <c r="L95" s="12"/>
      <c r="M95" s="12"/>
      <c r="N95" s="12" t="str">
        <f ca="1">IFERROR(__xludf.DUMMYFUNCTION("""COMPUTED_VALUE"""),"Table1")</f>
        <v>Table1</v>
      </c>
    </row>
    <row r="96" spans="1:14" ht="15.75" customHeight="1" x14ac:dyDescent="0.35">
      <c r="A96" s="12" t="str">
        <f ca="1">IFERROR(__xludf.DUMMYFUNCTION("""COMPUTED_VALUE"""),"Butterfield, Rosaria")</f>
        <v>Butterfield, Rosaria</v>
      </c>
      <c r="B96" s="12" t="str">
        <f ca="1">IFERROR(__xludf.DUMMYFUNCTION("""COMPUTED_VALUE""")," Rosaria Butterfield")</f>
        <v xml:space="preserve"> Rosaria Butterfield</v>
      </c>
      <c r="C96" s="12" t="str">
        <f ca="1">IFERROR(__xludf.DUMMYFUNCTION("""COMPUTED_VALUE"""),"The Gospel Comes with a House Key: Practicing Radically Ordinary Hospitality in Our Post-Christian World")</f>
        <v>The Gospel Comes with a House Key: Practicing Radically Ordinary Hospitality in Our Post-Christian World</v>
      </c>
      <c r="D96" s="4"/>
      <c r="E96" s="12" t="str">
        <f ca="1">IFERROR(__xludf.DUMMYFUNCTION("""COMPUTED_VALUE"""),"Book")</f>
        <v>Book</v>
      </c>
      <c r="F96" s="12" t="str">
        <f ca="1">IFERROR(__xludf.DUMMYFUNCTION("""COMPUTED_VALUE"""),"Understanding Mankind")</f>
        <v>Understanding Mankind</v>
      </c>
      <c r="G96" s="12"/>
      <c r="H96" s="12"/>
      <c r="I96" s="12"/>
      <c r="J96" s="12" t="str">
        <f ca="1">IFERROR(__xludf.DUMMYFUNCTION("""COMPUTED_VALUE"""),"Hospitality, Evangelism")</f>
        <v>Hospitality, Evangelism</v>
      </c>
      <c r="K96" s="13"/>
      <c r="L96" s="12"/>
      <c r="M96" s="12"/>
      <c r="N96" s="12" t="str">
        <f ca="1">IFERROR(__xludf.DUMMYFUNCTION("""COMPUTED_VALUE"""),"Table1")</f>
        <v>Table1</v>
      </c>
    </row>
    <row r="97" spans="1:14" ht="15.75" customHeight="1" x14ac:dyDescent="0.35">
      <c r="A97" s="12" t="str">
        <f ca="1">IFERROR(__xludf.DUMMYFUNCTION("""COMPUTED_VALUE"""),"Butterfield, Rosaria ")</f>
        <v xml:space="preserve">Butterfield, Rosaria </v>
      </c>
      <c r="B97" s="12" t="str">
        <f ca="1">IFERROR(__xludf.DUMMYFUNCTION("""COMPUTED_VALUE""")," Rosaria  Butterfield")</f>
        <v xml:space="preserve"> Rosaria  Butterfield</v>
      </c>
      <c r="C97" s="12" t="str">
        <f ca="1">IFERROR(__xludf.DUMMYFUNCTION("""COMPUTED_VALUE"""),"Openness Unhindered: Further Thoughts of an Unlikely Convert on Sexual Identity and Union with Christ")</f>
        <v>Openness Unhindered: Further Thoughts of an Unlikely Convert on Sexual Identity and Union with Christ</v>
      </c>
      <c r="D97" s="4"/>
      <c r="E97" s="12" t="str">
        <f ca="1">IFERROR(__xludf.DUMMYFUNCTION("""COMPUTED_VALUE"""),"Book")</f>
        <v>Book</v>
      </c>
      <c r="F97" s="12" t="str">
        <f ca="1">IFERROR(__xludf.DUMMYFUNCTION("""COMPUTED_VALUE"""),"Understanding Mankind")</f>
        <v>Understanding Mankind</v>
      </c>
      <c r="G97" s="12"/>
      <c r="H97" s="12"/>
      <c r="I97" s="12"/>
      <c r="J97" s="12" t="str">
        <f ca="1">IFERROR(__xludf.DUMMYFUNCTION("""COMPUTED_VALUE"""),"Homosexuality, Gender Identity")</f>
        <v>Homosexuality, Gender Identity</v>
      </c>
      <c r="K97" s="13">
        <f ca="1">IFERROR(__xludf.DUMMYFUNCTION("""COMPUTED_VALUE"""),42323)</f>
        <v>42323</v>
      </c>
      <c r="L97" s="12"/>
      <c r="M97" s="12"/>
      <c r="N97" s="12" t="str">
        <f ca="1">IFERROR(__xludf.DUMMYFUNCTION("""COMPUTED_VALUE"""),"Table1")</f>
        <v>Table1</v>
      </c>
    </row>
    <row r="98" spans="1:14" ht="15.75" customHeight="1" x14ac:dyDescent="0.35">
      <c r="A98" s="12" t="str">
        <f ca="1">IFERROR(__xludf.DUMMYFUNCTION("""COMPUTED_VALUE"""),"Butterfield, Rosaria ")</f>
        <v xml:space="preserve">Butterfield, Rosaria </v>
      </c>
      <c r="B98" s="12" t="str">
        <f ca="1">IFERROR(__xludf.DUMMYFUNCTION("""COMPUTED_VALUE""")," Rosaria  Butterfield")</f>
        <v xml:space="preserve"> Rosaria  Butterfield</v>
      </c>
      <c r="C98" s="12" t="str">
        <f ca="1">IFERROR(__xludf.DUMMYFUNCTION("""COMPUTED_VALUE"""),"The Secret Thoughts of an Unlikely Convert")</f>
        <v>The Secret Thoughts of an Unlikely Convert</v>
      </c>
      <c r="D98" s="4"/>
      <c r="E98" s="12" t="str">
        <f ca="1">IFERROR(__xludf.DUMMYFUNCTION("""COMPUTED_VALUE"""),"Book")</f>
        <v>Book</v>
      </c>
      <c r="F98" s="12" t="str">
        <f ca="1">IFERROR(__xludf.DUMMYFUNCTION("""COMPUTED_VALUE"""),"Understanding Mankind")</f>
        <v>Understanding Mankind</v>
      </c>
      <c r="G98" s="12"/>
      <c r="H98" s="12"/>
      <c r="I98" s="12"/>
      <c r="J98" s="12" t="str">
        <f ca="1">IFERROR(__xludf.DUMMYFUNCTION("""COMPUTED_VALUE"""),"Apologetics")</f>
        <v>Apologetics</v>
      </c>
      <c r="K98" s="13">
        <f ca="1">IFERROR(__xludf.DUMMYFUNCTION("""COMPUTED_VALUE"""),41804)</f>
        <v>41804</v>
      </c>
      <c r="L98" s="12"/>
      <c r="M98" s="12"/>
      <c r="N98" s="12" t="str">
        <f ca="1">IFERROR(__xludf.DUMMYFUNCTION("""COMPUTED_VALUE"""),"Table1")</f>
        <v>Table1</v>
      </c>
    </row>
    <row r="99" spans="1:14" ht="15.75" customHeight="1" x14ac:dyDescent="0.35">
      <c r="A99" s="12" t="str">
        <f ca="1">IFERROR(__xludf.DUMMYFUNCTION("""COMPUTED_VALUE"""),"Byrd, Aimee")</f>
        <v>Byrd, Aimee</v>
      </c>
      <c r="B99" s="12" t="str">
        <f ca="1">IFERROR(__xludf.DUMMYFUNCTION("""COMPUTED_VALUE""")," Aimee Byrd")</f>
        <v xml:space="preserve"> Aimee Byrd</v>
      </c>
      <c r="C99" s="12" t="str">
        <f ca="1">IFERROR(__xludf.DUMMYFUNCTION("""COMPUTED_VALUE"""),"No Little Women: Equipping All Women in the Household of God ")</f>
        <v xml:space="preserve">No Little Women: Equipping All Women in the Household of God </v>
      </c>
      <c r="D99" s="4"/>
      <c r="E99" s="12" t="str">
        <f ca="1">IFERROR(__xludf.DUMMYFUNCTION("""COMPUTED_VALUE"""),"Book")</f>
        <v>Book</v>
      </c>
      <c r="F99" s="12" t="str">
        <f ca="1">IFERROR(__xludf.DUMMYFUNCTION("""COMPUTED_VALUE"""),"Church")</f>
        <v>Church</v>
      </c>
      <c r="G99" s="12"/>
      <c r="H99" s="12"/>
      <c r="I99" s="12"/>
      <c r="J99" s="12" t="str">
        <f ca="1">IFERROR(__xludf.DUMMYFUNCTION("""COMPUTED_VALUE"""),"Christian Women")</f>
        <v>Christian Women</v>
      </c>
      <c r="K99" s="13">
        <f ca="1">IFERROR(__xludf.DUMMYFUNCTION("""COMPUTED_VALUE"""),42884)</f>
        <v>42884</v>
      </c>
      <c r="L99" s="12"/>
      <c r="M99" s="12"/>
      <c r="N99" s="12" t="str">
        <f ca="1">IFERROR(__xludf.DUMMYFUNCTION("""COMPUTED_VALUE"""),"Table1")</f>
        <v>Table1</v>
      </c>
    </row>
    <row r="100" spans="1:14" ht="15.75" customHeight="1" x14ac:dyDescent="0.35">
      <c r="A100" s="12" t="str">
        <f ca="1">IFERROR(__xludf.DUMMYFUNCTION("""COMPUTED_VALUE"""),"Byrd, Aimee")</f>
        <v>Byrd, Aimee</v>
      </c>
      <c r="B100" s="12" t="str">
        <f ca="1">IFERROR(__xludf.DUMMYFUNCTION("""COMPUTED_VALUE""")," Aimee Byrd")</f>
        <v xml:space="preserve"> Aimee Byrd</v>
      </c>
      <c r="C100" s="12" t="str">
        <f ca="1">IFERROR(__xludf.DUMMYFUNCTION("""COMPUTED_VALUE"""),"Theological Fitness: Why We Need a Fighting Faith")</f>
        <v>Theological Fitness: Why We Need a Fighting Faith</v>
      </c>
      <c r="D100" s="4"/>
      <c r="E100" s="12" t="str">
        <f ca="1">IFERROR(__xludf.DUMMYFUNCTION("""COMPUTED_VALUE"""),"Book")</f>
        <v>Book</v>
      </c>
      <c r="F100" s="12" t="str">
        <f ca="1">IFERROR(__xludf.DUMMYFUNCTION("""COMPUTED_VALUE"""),"Discipleship")</f>
        <v>Discipleship</v>
      </c>
      <c r="G100" s="12"/>
      <c r="H100" s="12"/>
      <c r="I100" s="12"/>
      <c r="J100" s="12"/>
      <c r="K100" s="13"/>
      <c r="L100" s="12"/>
      <c r="M100" s="12"/>
      <c r="N100" s="12" t="str">
        <f ca="1">IFERROR(__xludf.DUMMYFUNCTION("""COMPUTED_VALUE"""),"Table1")</f>
        <v>Table1</v>
      </c>
    </row>
    <row r="101" spans="1:14" ht="15.75" customHeight="1" x14ac:dyDescent="0.35">
      <c r="A101" s="12" t="str">
        <f ca="1">IFERROR(__xludf.DUMMYFUNCTION("""COMPUTED_VALUE"""),"Byrd, Aimee")</f>
        <v>Byrd, Aimee</v>
      </c>
      <c r="B101" s="12" t="str">
        <f ca="1">IFERROR(__xludf.DUMMYFUNCTION("""COMPUTED_VALUE""")," Aimee Byrd")</f>
        <v xml:space="preserve"> Aimee Byrd</v>
      </c>
      <c r="C101" s="12" t="str">
        <f ca="1">IFERROR(__xludf.DUMMYFUNCTION("""COMPUTED_VALUE"""),"Why Can't We Be Friends?  Avoidance Is Not Purity")</f>
        <v>Why Can't We Be Friends?  Avoidance Is Not Purity</v>
      </c>
      <c r="D101" s="4"/>
      <c r="E101" s="12" t="str">
        <f ca="1">IFERROR(__xludf.DUMMYFUNCTION("""COMPUTED_VALUE"""),"Book")</f>
        <v>Book</v>
      </c>
      <c r="F101" s="12" t="str">
        <f ca="1">IFERROR(__xludf.DUMMYFUNCTION("""COMPUTED_VALUE"""),"Understanding Mankind")</f>
        <v>Understanding Mankind</v>
      </c>
      <c r="G101" s="12"/>
      <c r="H101" s="12"/>
      <c r="I101" s="12"/>
      <c r="J101" s="12" t="str">
        <f ca="1">IFERROR(__xludf.DUMMYFUNCTION("""COMPUTED_VALUE"""),"Fellowship")</f>
        <v>Fellowship</v>
      </c>
      <c r="K101" s="13"/>
      <c r="L101" s="12"/>
      <c r="M101" s="12"/>
      <c r="N101" s="12" t="str">
        <f ca="1">IFERROR(__xludf.DUMMYFUNCTION("""COMPUTED_VALUE"""),"Table1")</f>
        <v>Table1</v>
      </c>
    </row>
    <row r="102" spans="1:14" ht="15.75" customHeight="1" x14ac:dyDescent="0.35">
      <c r="A102" s="12" t="str">
        <f ca="1">IFERROR(__xludf.DUMMYFUNCTION("""COMPUTED_VALUE"""),"Camilleri, Simon")</f>
        <v>Camilleri, Simon</v>
      </c>
      <c r="B102" s="12" t="str">
        <f ca="1">IFERROR(__xludf.DUMMYFUNCTION("""COMPUTED_VALUE""")," Simon Camilleri")</f>
        <v xml:space="preserve"> Simon Camilleri</v>
      </c>
      <c r="C102" s="12" t="str">
        <f ca="1">IFERROR(__xludf.DUMMYFUNCTION("""COMPUTED_VALUE"""),"When Santa Learned the Gospel")</f>
        <v>When Santa Learned the Gospel</v>
      </c>
      <c r="D102" s="4"/>
      <c r="E102" s="12" t="str">
        <f ca="1">IFERROR(__xludf.DUMMYFUNCTION("""COMPUTED_VALUE"""),"Book")</f>
        <v>Book</v>
      </c>
      <c r="F102" s="12" t="str">
        <f ca="1">IFERROR(__xludf.DUMMYFUNCTION("""COMPUTED_VALUE"""),"Children")</f>
        <v>Children</v>
      </c>
      <c r="G102" s="12"/>
      <c r="H102" s="12"/>
      <c r="I102" s="12"/>
      <c r="J102" s="12"/>
      <c r="K102" s="13"/>
      <c r="L102" s="12"/>
      <c r="M102" s="12"/>
      <c r="N102" s="12" t="str">
        <f ca="1">IFERROR(__xludf.DUMMYFUNCTION("""COMPUTED_VALUE"""),"Table1")</f>
        <v>Table1</v>
      </c>
    </row>
    <row r="103" spans="1:14" ht="15.75" customHeight="1" x14ac:dyDescent="0.35">
      <c r="A103" s="12" t="str">
        <f ca="1">IFERROR(__xludf.DUMMYFUNCTION("""COMPUTED_VALUE"""),"Caneday, Ardel B; Schreiner, Thomas R.")</f>
        <v>Caneday, Ardel B; Schreiner, Thomas R.</v>
      </c>
      <c r="B103" s="12" t="str">
        <f ca="1">IFERROR(__xludf.DUMMYFUNCTION("""COMPUTED_VALUE""")," Ardel B Caneday; Thomas R. Schreiner")</f>
        <v xml:space="preserve"> Ardel B Caneday; Thomas R. Schreiner</v>
      </c>
      <c r="C103" s="12" t="str">
        <f ca="1">IFERROR(__xludf.DUMMYFUNCTION("""COMPUTED_VALUE"""),"The Race Set Before Us")</f>
        <v>The Race Set Before Us</v>
      </c>
      <c r="D103" s="4" t="str">
        <f ca="1">IFERROR(__xludf.DUMMYFUNCTION("""COMPUTED_VALUE"""),"Schreiner")</f>
        <v>Schreiner</v>
      </c>
      <c r="E103" s="12" t="str">
        <f ca="1">IFERROR(__xludf.DUMMYFUNCTION("""COMPUTED_VALUE"""),"Book")</f>
        <v>Book</v>
      </c>
      <c r="F103" s="12" t="str">
        <f ca="1">IFERROR(__xludf.DUMMYFUNCTION("""COMPUTED_VALUE"""),"Theology")</f>
        <v>Theology</v>
      </c>
      <c r="G103" s="12"/>
      <c r="H103" s="12"/>
      <c r="I103" s="12"/>
      <c r="J103" s="12" t="str">
        <f ca="1">IFERROR(__xludf.DUMMYFUNCTION("""COMPUTED_VALUE"""),"Calvinism")</f>
        <v>Calvinism</v>
      </c>
      <c r="K103" s="13">
        <f ca="1">IFERROR(__xludf.DUMMYFUNCTION("""COMPUTED_VALUE"""),40034)</f>
        <v>40034</v>
      </c>
      <c r="L103" s="12"/>
      <c r="M103" s="12"/>
      <c r="N103" s="12" t="str">
        <f ca="1">IFERROR(__xludf.DUMMYFUNCTION("""COMPUTED_VALUE"""),"Table1")</f>
        <v>Table1</v>
      </c>
    </row>
    <row r="104" spans="1:14" ht="15.75" customHeight="1" x14ac:dyDescent="0.35">
      <c r="A104" s="12" t="str">
        <f ca="1">IFERROR(__xludf.DUMMYFUNCTION("""COMPUTED_VALUE"""),"Carmichael, Stephanie")</f>
        <v>Carmichael, Stephanie</v>
      </c>
      <c r="B104" s="12" t="str">
        <f ca="1">IFERROR(__xludf.DUMMYFUNCTION("""COMPUTED_VALUE""")," Stephanie Carmichael")</f>
        <v xml:space="preserve"> Stephanie Carmichael</v>
      </c>
      <c r="C104" s="12" t="str">
        <f ca="1">IFERROR(__xludf.DUMMYFUNCTION("""COMPUTED_VALUE"""),"Over the Fence")</f>
        <v>Over the Fence</v>
      </c>
      <c r="D104" s="4" t="str">
        <f ca="1">IFERROR(__xludf.DUMMYFUNCTION("""COMPUTED_VALUE"""),"Green, Jessica")</f>
        <v>Green, Jessica</v>
      </c>
      <c r="E104" s="12" t="str">
        <f ca="1">IFERROR(__xludf.DUMMYFUNCTION("""COMPUTED_VALUE"""),"Book")</f>
        <v>Book</v>
      </c>
      <c r="F104" s="12" t="str">
        <f ca="1">IFERROR(__xludf.DUMMYFUNCTION("""COMPUTED_VALUE"""),"Children")</f>
        <v>Children</v>
      </c>
      <c r="G104" s="12"/>
      <c r="H104" s="12"/>
      <c r="I104" s="12"/>
      <c r="J104" s="12"/>
      <c r="K104" s="13">
        <f ca="1">IFERROR(__xludf.DUMMYFUNCTION("""COMPUTED_VALUE"""),41000)</f>
        <v>41000</v>
      </c>
      <c r="L104" s="12"/>
      <c r="M104" s="12"/>
      <c r="N104" s="12" t="str">
        <f ca="1">IFERROR(__xludf.DUMMYFUNCTION("""COMPUTED_VALUE"""),"Table1")</f>
        <v>Table1</v>
      </c>
    </row>
    <row r="105" spans="1:14" ht="15.75" customHeight="1" x14ac:dyDescent="0.35">
      <c r="A105" s="12" t="str">
        <f ca="1">IFERROR(__xludf.DUMMYFUNCTION("""COMPUTED_VALUE"""),"Carmichael, Stephanie")</f>
        <v>Carmichael, Stephanie</v>
      </c>
      <c r="B105" s="12" t="str">
        <f ca="1">IFERROR(__xludf.DUMMYFUNCTION("""COMPUTED_VALUE""")," Stephanie Carmichael")</f>
        <v xml:space="preserve"> Stephanie Carmichael</v>
      </c>
      <c r="C105" s="12" t="str">
        <f ca="1">IFERROR(__xludf.DUMMYFUNCTION("""COMPUTED_VALUE"""),"The Rag Doll")</f>
        <v>The Rag Doll</v>
      </c>
      <c r="D105" s="4" t="str">
        <f ca="1">IFERROR(__xludf.DUMMYFUNCTION("""COMPUTED_VALUE"""),"Green, Jessica")</f>
        <v>Green, Jessica</v>
      </c>
      <c r="E105" s="12" t="str">
        <f ca="1">IFERROR(__xludf.DUMMYFUNCTION("""COMPUTED_VALUE"""),"Book")</f>
        <v>Book</v>
      </c>
      <c r="F105" s="12" t="str">
        <f ca="1">IFERROR(__xludf.DUMMYFUNCTION("""COMPUTED_VALUE"""),"Children")</f>
        <v>Children</v>
      </c>
      <c r="G105" s="12"/>
      <c r="H105" s="12"/>
      <c r="I105" s="12"/>
      <c r="J105" s="12"/>
      <c r="K105" s="13">
        <f ca="1">IFERROR(__xludf.DUMMYFUNCTION("""COMPUTED_VALUE"""),41000)</f>
        <v>41000</v>
      </c>
      <c r="L105" s="12"/>
      <c r="M105" s="12"/>
      <c r="N105" s="12" t="str">
        <f ca="1">IFERROR(__xludf.DUMMYFUNCTION("""COMPUTED_VALUE"""),"Table1")</f>
        <v>Table1</v>
      </c>
    </row>
    <row r="106" spans="1:14" ht="15.75" customHeight="1" x14ac:dyDescent="0.35">
      <c r="A106" s="12" t="str">
        <f ca="1">IFERROR(__xludf.DUMMYFUNCTION("""COMPUTED_VALUE"""),"Carr, Simonetta")</f>
        <v>Carr, Simonetta</v>
      </c>
      <c r="B106" s="12" t="str">
        <f ca="1">IFERROR(__xludf.DUMMYFUNCTION("""COMPUTED_VALUE""")," Simonetta Carr")</f>
        <v xml:space="preserve"> Simonetta Carr</v>
      </c>
      <c r="C106" s="12" t="str">
        <f ca="1">IFERROR(__xludf.DUMMYFUNCTION("""COMPUTED_VALUE"""),"Athanasius")</f>
        <v>Athanasius</v>
      </c>
      <c r="D106" s="4"/>
      <c r="E106" s="12" t="str">
        <f ca="1">IFERROR(__xludf.DUMMYFUNCTION("""COMPUTED_VALUE"""),"Book")</f>
        <v>Book</v>
      </c>
      <c r="F106" s="12" t="str">
        <f ca="1">IFERROR(__xludf.DUMMYFUNCTION("""COMPUTED_VALUE"""),"Children")</f>
        <v>Children</v>
      </c>
      <c r="G106" s="12"/>
      <c r="H106" s="12"/>
      <c r="I106" s="12"/>
      <c r="J106" s="12"/>
      <c r="K106" s="13">
        <f ca="1">IFERROR(__xludf.DUMMYFUNCTION("""COMPUTED_VALUE"""),41011)</f>
        <v>41011</v>
      </c>
      <c r="L106" s="12"/>
      <c r="M106" s="12"/>
      <c r="N106" s="12" t="str">
        <f ca="1">IFERROR(__xludf.DUMMYFUNCTION("""COMPUTED_VALUE"""),"Table1")</f>
        <v>Table1</v>
      </c>
    </row>
    <row r="107" spans="1:14" ht="15.75" customHeight="1" x14ac:dyDescent="0.35">
      <c r="A107" s="12" t="str">
        <f ca="1">IFERROR(__xludf.DUMMYFUNCTION("""COMPUTED_VALUE"""),"Carr, Simonetta")</f>
        <v>Carr, Simonetta</v>
      </c>
      <c r="B107" s="12" t="str">
        <f ca="1">IFERROR(__xludf.DUMMYFUNCTION("""COMPUTED_VALUE""")," Simonetta Carr")</f>
        <v xml:space="preserve"> Simonetta Carr</v>
      </c>
      <c r="C107" s="12" t="str">
        <f ca="1">IFERROR(__xludf.DUMMYFUNCTION("""COMPUTED_VALUE"""),"Augustine of Hippo")</f>
        <v>Augustine of Hippo</v>
      </c>
      <c r="D107" s="4"/>
      <c r="E107" s="12" t="str">
        <f ca="1">IFERROR(__xludf.DUMMYFUNCTION("""COMPUTED_VALUE"""),"Book")</f>
        <v>Book</v>
      </c>
      <c r="F107" s="12" t="str">
        <f ca="1">IFERROR(__xludf.DUMMYFUNCTION("""COMPUTED_VALUE"""),"Children")</f>
        <v>Children</v>
      </c>
      <c r="G107" s="12"/>
      <c r="H107" s="12"/>
      <c r="I107" s="12"/>
      <c r="J107" s="12"/>
      <c r="K107" s="13">
        <f ca="1">IFERROR(__xludf.DUMMYFUNCTION("""COMPUTED_VALUE"""),41011)</f>
        <v>41011</v>
      </c>
      <c r="L107" s="12"/>
      <c r="M107" s="12"/>
      <c r="N107" s="12" t="str">
        <f ca="1">IFERROR(__xludf.DUMMYFUNCTION("""COMPUTED_VALUE"""),"Table1")</f>
        <v>Table1</v>
      </c>
    </row>
    <row r="108" spans="1:14" ht="15.75" customHeight="1" x14ac:dyDescent="0.35">
      <c r="A108" s="12" t="str">
        <f ca="1">IFERROR(__xludf.DUMMYFUNCTION("""COMPUTED_VALUE"""),"Carr, Simonetta")</f>
        <v>Carr, Simonetta</v>
      </c>
      <c r="B108" s="12" t="str">
        <f ca="1">IFERROR(__xludf.DUMMYFUNCTION("""COMPUTED_VALUE""")," Simonetta Carr")</f>
        <v xml:space="preserve"> Simonetta Carr</v>
      </c>
      <c r="C108" s="12" t="str">
        <f ca="1">IFERROR(__xludf.DUMMYFUNCTION("""COMPUTED_VALUE"""),"John Calvin")</f>
        <v>John Calvin</v>
      </c>
      <c r="D108" s="4"/>
      <c r="E108" s="12" t="str">
        <f ca="1">IFERROR(__xludf.DUMMYFUNCTION("""COMPUTED_VALUE"""),"Book")</f>
        <v>Book</v>
      </c>
      <c r="F108" s="12" t="str">
        <f ca="1">IFERROR(__xludf.DUMMYFUNCTION("""COMPUTED_VALUE"""),"Children")</f>
        <v>Children</v>
      </c>
      <c r="G108" s="12"/>
      <c r="H108" s="12"/>
      <c r="I108" s="12"/>
      <c r="J108" s="12"/>
      <c r="K108" s="13">
        <f ca="1">IFERROR(__xludf.DUMMYFUNCTION("""COMPUTED_VALUE"""),41011)</f>
        <v>41011</v>
      </c>
      <c r="L108" s="12"/>
      <c r="M108" s="12"/>
      <c r="N108" s="12" t="str">
        <f ca="1">IFERROR(__xludf.DUMMYFUNCTION("""COMPUTED_VALUE"""),"Table1")</f>
        <v>Table1</v>
      </c>
    </row>
    <row r="109" spans="1:14" ht="15.75" customHeight="1" x14ac:dyDescent="0.35">
      <c r="A109" s="12" t="str">
        <f ca="1">IFERROR(__xludf.DUMMYFUNCTION("""COMPUTED_VALUE"""),"Carr, Simonetta")</f>
        <v>Carr, Simonetta</v>
      </c>
      <c r="B109" s="12" t="str">
        <f ca="1">IFERROR(__xludf.DUMMYFUNCTION("""COMPUTED_VALUE""")," Simonetta Carr")</f>
        <v xml:space="preserve"> Simonetta Carr</v>
      </c>
      <c r="C109" s="12" t="str">
        <f ca="1">IFERROR(__xludf.DUMMYFUNCTION("""COMPUTED_VALUE"""),"John Owen")</f>
        <v>John Owen</v>
      </c>
      <c r="D109" s="4"/>
      <c r="E109" s="12" t="str">
        <f ca="1">IFERROR(__xludf.DUMMYFUNCTION("""COMPUTED_VALUE"""),"Book")</f>
        <v>Book</v>
      </c>
      <c r="F109" s="12" t="str">
        <f ca="1">IFERROR(__xludf.DUMMYFUNCTION("""COMPUTED_VALUE"""),"Children")</f>
        <v>Children</v>
      </c>
      <c r="G109" s="12"/>
      <c r="H109" s="12"/>
      <c r="I109" s="12"/>
      <c r="J109" s="12"/>
      <c r="K109" s="13">
        <f ca="1">IFERROR(__xludf.DUMMYFUNCTION("""COMPUTED_VALUE"""),41011)</f>
        <v>41011</v>
      </c>
      <c r="L109" s="12"/>
      <c r="M109" s="12"/>
      <c r="N109" s="12" t="str">
        <f ca="1">IFERROR(__xludf.DUMMYFUNCTION("""COMPUTED_VALUE"""),"Table1")</f>
        <v>Table1</v>
      </c>
    </row>
    <row r="110" spans="1:14" ht="15.75" customHeight="1" x14ac:dyDescent="0.35">
      <c r="A110" s="12" t="str">
        <f ca="1">IFERROR(__xludf.DUMMYFUNCTION("""COMPUTED_VALUE"""),"Carr, Simonetta")</f>
        <v>Carr, Simonetta</v>
      </c>
      <c r="B110" s="12" t="str">
        <f ca="1">IFERROR(__xludf.DUMMYFUNCTION("""COMPUTED_VALUE""")," Simonetta Carr")</f>
        <v xml:space="preserve"> Simonetta Carr</v>
      </c>
      <c r="C110" s="12" t="str">
        <f ca="1">IFERROR(__xludf.DUMMYFUNCTION("""COMPUTED_VALUE"""),"Lady Jane Grey")</f>
        <v>Lady Jane Grey</v>
      </c>
      <c r="D110" s="4"/>
      <c r="E110" s="12" t="str">
        <f ca="1">IFERROR(__xludf.DUMMYFUNCTION("""COMPUTED_VALUE"""),"Book")</f>
        <v>Book</v>
      </c>
      <c r="F110" s="12" t="str">
        <f ca="1">IFERROR(__xludf.DUMMYFUNCTION("""COMPUTED_VALUE"""),"Children")</f>
        <v>Children</v>
      </c>
      <c r="G110" s="12"/>
      <c r="H110" s="12"/>
      <c r="I110" s="12"/>
      <c r="J110" s="12"/>
      <c r="K110" s="13">
        <f ca="1">IFERROR(__xludf.DUMMYFUNCTION("""COMPUTED_VALUE"""),41712)</f>
        <v>41712</v>
      </c>
      <c r="L110" s="12"/>
      <c r="M110" s="12"/>
      <c r="N110" s="12" t="str">
        <f ca="1">IFERROR(__xludf.DUMMYFUNCTION("""COMPUTED_VALUE"""),"Table1")</f>
        <v>Table1</v>
      </c>
    </row>
    <row r="111" spans="1:14" ht="15.75" customHeight="1" x14ac:dyDescent="0.35">
      <c r="A111" s="12" t="str">
        <f ca="1">IFERROR(__xludf.DUMMYFUNCTION("""COMPUTED_VALUE"""),"Carr, Simonetta")</f>
        <v>Carr, Simonetta</v>
      </c>
      <c r="B111" s="12" t="str">
        <f ca="1">IFERROR(__xludf.DUMMYFUNCTION("""COMPUTED_VALUE""")," Simonetta Carr")</f>
        <v xml:space="preserve"> Simonetta Carr</v>
      </c>
      <c r="C111" s="12" t="str">
        <f ca="1">IFERROR(__xludf.DUMMYFUNCTION("""COMPUTED_VALUE"""),"Peter Martyr Vermigli")</f>
        <v>Peter Martyr Vermigli</v>
      </c>
      <c r="D111" s="4"/>
      <c r="E111" s="12" t="str">
        <f ca="1">IFERROR(__xludf.DUMMYFUNCTION("""COMPUTED_VALUE"""),"Book")</f>
        <v>Book</v>
      </c>
      <c r="F111" s="12" t="str">
        <f ca="1">IFERROR(__xludf.DUMMYFUNCTION("""COMPUTED_VALUE"""),"Children")</f>
        <v>Children</v>
      </c>
      <c r="G111" s="12"/>
      <c r="H111" s="12"/>
      <c r="I111" s="12"/>
      <c r="J111" s="12"/>
      <c r="K111" s="13">
        <f ca="1">IFERROR(__xludf.DUMMYFUNCTION("""COMPUTED_VALUE"""),43040)</f>
        <v>43040</v>
      </c>
      <c r="L111" s="12"/>
      <c r="M111" s="12"/>
      <c r="N111" s="12" t="str">
        <f ca="1">IFERROR(__xludf.DUMMYFUNCTION("""COMPUTED_VALUE"""),"Table1")</f>
        <v>Table1</v>
      </c>
    </row>
    <row r="112" spans="1:14" ht="15.75" customHeight="1" x14ac:dyDescent="0.35">
      <c r="A112" s="12" t="str">
        <f ca="1">IFERROR(__xludf.DUMMYFUNCTION("""COMPUTED_VALUE"""),"Carr, Simonetta")</f>
        <v>Carr, Simonetta</v>
      </c>
      <c r="B112" s="12" t="str">
        <f ca="1">IFERROR(__xludf.DUMMYFUNCTION("""COMPUTED_VALUE""")," Simonetta Carr")</f>
        <v xml:space="preserve"> Simonetta Carr</v>
      </c>
      <c r="C112" s="12" t="str">
        <f ca="1">IFERROR(__xludf.DUMMYFUNCTION("""COMPUTED_VALUE"""),"Weight of a Flame: The Passion of Olympia Morata")</f>
        <v>Weight of a Flame: The Passion of Olympia Morata</v>
      </c>
      <c r="D112" s="4"/>
      <c r="E112" s="12" t="str">
        <f ca="1">IFERROR(__xludf.DUMMYFUNCTION("""COMPUTED_VALUE"""),"Book")</f>
        <v>Book</v>
      </c>
      <c r="F112" s="12" t="str">
        <f ca="1">IFERROR(__xludf.DUMMYFUNCTION("""COMPUTED_VALUE"""),"Children")</f>
        <v>Children</v>
      </c>
      <c r="G112" s="12"/>
      <c r="H112" s="12"/>
      <c r="I112" s="12"/>
      <c r="J112" s="12"/>
      <c r="K112" s="13">
        <f ca="1">IFERROR(__xludf.DUMMYFUNCTION("""COMPUTED_VALUE"""),41468)</f>
        <v>41468</v>
      </c>
      <c r="L112" s="12"/>
      <c r="M112" s="12"/>
      <c r="N112" s="12" t="str">
        <f ca="1">IFERROR(__xludf.DUMMYFUNCTION("""COMPUTED_VALUE"""),"Table1")</f>
        <v>Table1</v>
      </c>
    </row>
    <row r="113" spans="1:14" ht="15.75" customHeight="1" x14ac:dyDescent="0.35">
      <c r="A113" s="12" t="str">
        <f ca="1">IFERROR(__xludf.DUMMYFUNCTION("""COMPUTED_VALUE"""),"Carson, D.A.")</f>
        <v>Carson, D.A.</v>
      </c>
      <c r="B113" s="12" t="str">
        <f ca="1">IFERROR(__xludf.DUMMYFUNCTION("""COMPUTED_VALUE""")," D.A. Carson")</f>
        <v xml:space="preserve"> D.A. Carson</v>
      </c>
      <c r="C113" s="12" t="str">
        <f ca="1">IFERROR(__xludf.DUMMYFUNCTION("""COMPUTED_VALUE"""),"Becoming Conversant with the Emerging Church: Understanding a Movement and Its Implications")</f>
        <v>Becoming Conversant with the Emerging Church: Understanding a Movement and Its Implications</v>
      </c>
      <c r="D113" s="4"/>
      <c r="E113" s="12" t="str">
        <f ca="1">IFERROR(__xludf.DUMMYFUNCTION("""COMPUTED_VALUE"""),"Book")</f>
        <v>Book</v>
      </c>
      <c r="F113" s="12" t="str">
        <f ca="1">IFERROR(__xludf.DUMMYFUNCTION("""COMPUTED_VALUE"""),"Church")</f>
        <v>Church</v>
      </c>
      <c r="G113" s="12"/>
      <c r="H113" s="12"/>
      <c r="I113" s="12"/>
      <c r="J113" s="12"/>
      <c r="K113" s="13">
        <f ca="1">IFERROR(__xludf.DUMMYFUNCTION("""COMPUTED_VALUE"""),40247)</f>
        <v>40247</v>
      </c>
      <c r="L113" s="12"/>
      <c r="M113" s="12"/>
      <c r="N113" s="12" t="str">
        <f ca="1">IFERROR(__xludf.DUMMYFUNCTION("""COMPUTED_VALUE"""),"Table1")</f>
        <v>Table1</v>
      </c>
    </row>
    <row r="114" spans="1:14" ht="15.75" customHeight="1" x14ac:dyDescent="0.35">
      <c r="A114" s="12" t="str">
        <f ca="1">IFERROR(__xludf.DUMMYFUNCTION("""COMPUTED_VALUE"""),"Carson, D.A.")</f>
        <v>Carson, D.A.</v>
      </c>
      <c r="B114" s="12" t="str">
        <f ca="1">IFERROR(__xludf.DUMMYFUNCTION("""COMPUTED_VALUE""")," D.A. Carson")</f>
        <v xml:space="preserve"> D.A. Carson</v>
      </c>
      <c r="C114" s="12" t="str">
        <f ca="1">IFERROR(__xludf.DUMMYFUNCTION("""COMPUTED_VALUE"""),"A Call to Spiritual Reformation")</f>
        <v>A Call to Spiritual Reformation</v>
      </c>
      <c r="D114" s="4"/>
      <c r="E114" s="12" t="str">
        <f ca="1">IFERROR(__xludf.DUMMYFUNCTION("""COMPUTED_VALUE"""),"Book")</f>
        <v>Book</v>
      </c>
      <c r="F114" s="12" t="str">
        <f ca="1">IFERROR(__xludf.DUMMYFUNCTION("""COMPUTED_VALUE"""),"Discipleship")</f>
        <v>Discipleship</v>
      </c>
      <c r="G114" s="12"/>
      <c r="H114" s="12"/>
      <c r="I114" s="12"/>
      <c r="J114" s="12"/>
      <c r="K114" s="13">
        <f ca="1">IFERROR(__xludf.DUMMYFUNCTION("""COMPUTED_VALUE"""),40034)</f>
        <v>40034</v>
      </c>
      <c r="L114" s="12"/>
      <c r="M114" s="12"/>
      <c r="N114" s="12" t="str">
        <f ca="1">IFERROR(__xludf.DUMMYFUNCTION("""COMPUTED_VALUE"""),"Table1")</f>
        <v>Table1</v>
      </c>
    </row>
    <row r="115" spans="1:14" ht="15.75" customHeight="1" x14ac:dyDescent="0.35">
      <c r="A115" s="12" t="str">
        <f ca="1">IFERROR(__xludf.DUMMYFUNCTION("""COMPUTED_VALUE"""),"Carson, D.A.")</f>
        <v>Carson, D.A.</v>
      </c>
      <c r="B115" s="12" t="str">
        <f ca="1">IFERROR(__xludf.DUMMYFUNCTION("""COMPUTED_VALUE""")," D.A. Carson")</f>
        <v xml:space="preserve"> D.A. Carson</v>
      </c>
      <c r="C115" s="12" t="str">
        <f ca="1">IFERROR(__xludf.DUMMYFUNCTION("""COMPUTED_VALUE"""),"Collected Writings on Scripture")</f>
        <v>Collected Writings on Scripture</v>
      </c>
      <c r="D115" s="4"/>
      <c r="E115" s="12" t="str">
        <f ca="1">IFERROR(__xludf.DUMMYFUNCTION("""COMPUTED_VALUE"""),"Book")</f>
        <v>Book</v>
      </c>
      <c r="F115" s="12" t="str">
        <f ca="1">IFERROR(__xludf.DUMMYFUNCTION("""COMPUTED_VALUE"""),"Bible")</f>
        <v>Bible</v>
      </c>
      <c r="G115" s="12"/>
      <c r="H115" s="12"/>
      <c r="I115" s="12"/>
      <c r="J115" s="12"/>
      <c r="K115" s="13">
        <f ca="1">IFERROR(__xludf.DUMMYFUNCTION("""COMPUTED_VALUE"""),42511)</f>
        <v>42511</v>
      </c>
      <c r="L115" s="12"/>
      <c r="M115" s="12"/>
      <c r="N115" s="12" t="str">
        <f ca="1">IFERROR(__xludf.DUMMYFUNCTION("""COMPUTED_VALUE"""),"Table1")</f>
        <v>Table1</v>
      </c>
    </row>
    <row r="116" spans="1:14" ht="15.75" customHeight="1" x14ac:dyDescent="0.35">
      <c r="A116" s="12" t="str">
        <f ca="1">IFERROR(__xludf.DUMMYFUNCTION("""COMPUTED_VALUE"""),"Carson, D.A.")</f>
        <v>Carson, D.A.</v>
      </c>
      <c r="B116" s="12" t="str">
        <f ca="1">IFERROR(__xludf.DUMMYFUNCTION("""COMPUTED_VALUE""")," D.A. Carson")</f>
        <v xml:space="preserve"> D.A. Carson</v>
      </c>
      <c r="C116" s="12" t="str">
        <f ca="1">IFERROR(__xludf.DUMMYFUNCTION("""COMPUTED_VALUE"""),"The Cross and Christian Ministry")</f>
        <v>The Cross and Christian Ministry</v>
      </c>
      <c r="D116" s="4"/>
      <c r="E116" s="12" t="str">
        <f ca="1">IFERROR(__xludf.DUMMYFUNCTION("""COMPUTED_VALUE"""),"Book")</f>
        <v>Book</v>
      </c>
      <c r="F116" s="12" t="str">
        <f ca="1">IFERROR(__xludf.DUMMYFUNCTION("""COMPUTED_VALUE"""),"Church")</f>
        <v>Church</v>
      </c>
      <c r="G116" s="12"/>
      <c r="H116" s="12"/>
      <c r="I116" s="12"/>
      <c r="J116" s="12" t="str">
        <f ca="1">IFERROR(__xludf.DUMMYFUNCTION("""COMPUTED_VALUE"""),"Church Leaders")</f>
        <v>Church Leaders</v>
      </c>
      <c r="K116" s="13">
        <f ca="1">IFERROR(__xludf.DUMMYFUNCTION("""COMPUTED_VALUE"""),40034)</f>
        <v>40034</v>
      </c>
      <c r="L116" s="12"/>
      <c r="M116" s="12"/>
      <c r="N116" s="12" t="str">
        <f ca="1">IFERROR(__xludf.DUMMYFUNCTION("""COMPUTED_VALUE"""),"Table1")</f>
        <v>Table1</v>
      </c>
    </row>
    <row r="117" spans="1:14" ht="15.75" customHeight="1" x14ac:dyDescent="0.35">
      <c r="A117" s="12" t="str">
        <f ca="1">IFERROR(__xludf.DUMMYFUNCTION("""COMPUTED_VALUE"""),"Carson, D.A.")</f>
        <v>Carson, D.A.</v>
      </c>
      <c r="B117" s="12" t="str">
        <f ca="1">IFERROR(__xludf.DUMMYFUNCTION("""COMPUTED_VALUE""")," D.A. Carson")</f>
        <v xml:space="preserve"> D.A. Carson</v>
      </c>
      <c r="C117" s="12" t="str">
        <f ca="1">IFERROR(__xludf.DUMMYFUNCTION("""COMPUTED_VALUE"""),"The God Who Is There: Finding Your Place in God's Story")</f>
        <v>The God Who Is There: Finding Your Place in God's Story</v>
      </c>
      <c r="D117" s="4" t="str">
        <f ca="1">IFERROR(__xludf.DUMMYFUNCTION("""COMPUTED_VALUE""")," ")</f>
        <v xml:space="preserve"> </v>
      </c>
      <c r="E117" s="12" t="str">
        <f ca="1">IFERROR(__xludf.DUMMYFUNCTION("""COMPUTED_VALUE"""),"Book")</f>
        <v>Book</v>
      </c>
      <c r="F117" s="12" t="str">
        <f ca="1">IFERROR(__xludf.DUMMYFUNCTION("""COMPUTED_VALUE"""),"Bible")</f>
        <v>Bible</v>
      </c>
      <c r="G117" s="12" t="str">
        <f ca="1">IFERROR(__xludf.DUMMYFUNCTION("""COMPUTED_VALUE"""),"Theology")</f>
        <v>Theology</v>
      </c>
      <c r="H117" s="12"/>
      <c r="I117" s="12"/>
      <c r="J117" s="12"/>
      <c r="K117" s="13">
        <f ca="1">IFERROR(__xludf.DUMMYFUNCTION("""COMPUTED_VALUE"""),40034)</f>
        <v>40034</v>
      </c>
      <c r="L117" s="12"/>
      <c r="M117" s="12"/>
      <c r="N117" s="12" t="str">
        <f ca="1">IFERROR(__xludf.DUMMYFUNCTION("""COMPUTED_VALUE"""),"Table1")</f>
        <v>Table1</v>
      </c>
    </row>
    <row r="118" spans="1:14" ht="15.75" customHeight="1" x14ac:dyDescent="0.35">
      <c r="A118" s="12" t="str">
        <f ca="1">IFERROR(__xludf.DUMMYFUNCTION("""COMPUTED_VALUE"""),"Carson, D.A.")</f>
        <v>Carson, D.A.</v>
      </c>
      <c r="B118" s="12" t="str">
        <f ca="1">IFERROR(__xludf.DUMMYFUNCTION("""COMPUTED_VALUE""")," D.A. Carson")</f>
        <v xml:space="preserve"> D.A. Carson</v>
      </c>
      <c r="C118" s="12" t="str">
        <f ca="1">IFERROR(__xludf.DUMMYFUNCTION("""COMPUTED_VALUE"""),"The Gospel According to John")</f>
        <v>The Gospel According to John</v>
      </c>
      <c r="D118" s="4"/>
      <c r="E118" s="12" t="str">
        <f ca="1">IFERROR(__xludf.DUMMYFUNCTION("""COMPUTED_VALUE"""),"Book")</f>
        <v>Book</v>
      </c>
      <c r="F118" s="12" t="str">
        <f ca="1">IFERROR(__xludf.DUMMYFUNCTION("""COMPUTED_VALUE"""),"Reference")</f>
        <v>Reference</v>
      </c>
      <c r="G118" s="12"/>
      <c r="H118" s="12"/>
      <c r="I118" s="12"/>
      <c r="J118" s="12"/>
      <c r="K118" s="13">
        <f ca="1">IFERROR(__xludf.DUMMYFUNCTION("""COMPUTED_VALUE"""),40980)</f>
        <v>40980</v>
      </c>
      <c r="L118" s="12"/>
      <c r="M118" s="12"/>
      <c r="N118" s="12" t="str">
        <f ca="1">IFERROR(__xludf.DUMMYFUNCTION("""COMPUTED_VALUE"""),"Table1")</f>
        <v>Table1</v>
      </c>
    </row>
    <row r="119" spans="1:14" ht="15.75" customHeight="1" x14ac:dyDescent="0.35">
      <c r="A119" s="12" t="str">
        <f ca="1">IFERROR(__xludf.DUMMYFUNCTION("""COMPUTED_VALUE"""),"Carson, D.A.")</f>
        <v>Carson, D.A.</v>
      </c>
      <c r="B119" s="12" t="str">
        <f ca="1">IFERROR(__xludf.DUMMYFUNCTION("""COMPUTED_VALUE""")," D.A. Carson")</f>
        <v xml:space="preserve"> D.A. Carson</v>
      </c>
      <c r="C119" s="12" t="str">
        <f ca="1">IFERROR(__xludf.DUMMYFUNCTION("""COMPUTED_VALUE"""),"How Long, O Lord?: Reflections on Suffering and Evil")</f>
        <v>How Long, O Lord?: Reflections on Suffering and Evil</v>
      </c>
      <c r="D119" s="4"/>
      <c r="E119" s="12" t="str">
        <f ca="1">IFERROR(__xludf.DUMMYFUNCTION("""COMPUTED_VALUE"""),"Book")</f>
        <v>Book</v>
      </c>
      <c r="F119" s="12" t="str">
        <f ca="1">IFERROR(__xludf.DUMMYFUNCTION("""COMPUTED_VALUE"""),"Understanding Mankind")</f>
        <v>Understanding Mankind</v>
      </c>
      <c r="G119" s="12" t="str">
        <f ca="1">IFERROR(__xludf.DUMMYFUNCTION("""COMPUTED_VALUE"""),"Theology")</f>
        <v>Theology</v>
      </c>
      <c r="H119" s="12"/>
      <c r="I119" s="12"/>
      <c r="J119" s="12" t="str">
        <f ca="1">IFERROR(__xludf.DUMMYFUNCTION("""COMPUTED_VALUE"""),"Suffering")</f>
        <v>Suffering</v>
      </c>
      <c r="K119" s="13">
        <f ca="1">IFERROR(__xludf.DUMMYFUNCTION("""COMPUTED_VALUE"""),40034)</f>
        <v>40034</v>
      </c>
      <c r="L119" s="12"/>
      <c r="M119" s="12"/>
      <c r="N119" s="12" t="str">
        <f ca="1">IFERROR(__xludf.DUMMYFUNCTION("""COMPUTED_VALUE"""),"Table1")</f>
        <v>Table1</v>
      </c>
    </row>
    <row r="120" spans="1:14" ht="15.75" customHeight="1" x14ac:dyDescent="0.35">
      <c r="A120" s="12" t="str">
        <f ca="1">IFERROR(__xludf.DUMMYFUNCTION("""COMPUTED_VALUE"""),"Carson, D.A.")</f>
        <v>Carson, D.A.</v>
      </c>
      <c r="B120" s="12" t="str">
        <f ca="1">IFERROR(__xludf.DUMMYFUNCTION("""COMPUTED_VALUE""")," D.A. Carson")</f>
        <v xml:space="preserve"> D.A. Carson</v>
      </c>
      <c r="C120" s="12" t="str">
        <f ca="1">IFERROR(__xludf.DUMMYFUNCTION("""COMPUTED_VALUE"""),"The Intolerance of Tolerance")</f>
        <v>The Intolerance of Tolerance</v>
      </c>
      <c r="D120" s="4"/>
      <c r="E120" s="12" t="str">
        <f ca="1">IFERROR(__xludf.DUMMYFUNCTION("""COMPUTED_VALUE"""),"Book")</f>
        <v>Book</v>
      </c>
      <c r="F120" s="12" t="str">
        <f ca="1">IFERROR(__xludf.DUMMYFUNCTION("""COMPUTED_VALUE"""),"Worldview")</f>
        <v>Worldview</v>
      </c>
      <c r="G120" s="12"/>
      <c r="H120" s="12"/>
      <c r="I120" s="12"/>
      <c r="J120" s="12" t="str">
        <f ca="1">IFERROR(__xludf.DUMMYFUNCTION("""COMPUTED_VALUE"""),"Postmodernism")</f>
        <v>Postmodernism</v>
      </c>
      <c r="K120" s="13">
        <f ca="1">IFERROR(__xludf.DUMMYFUNCTION("""COMPUTED_VALUE"""),40980)</f>
        <v>40980</v>
      </c>
      <c r="L120" s="12"/>
      <c r="M120" s="12"/>
      <c r="N120" s="12" t="str">
        <f ca="1">IFERROR(__xludf.DUMMYFUNCTION("""COMPUTED_VALUE"""),"Table1")</f>
        <v>Table1</v>
      </c>
    </row>
    <row r="121" spans="1:14" ht="15.75" customHeight="1" x14ac:dyDescent="0.35">
      <c r="A121" s="12" t="str">
        <f ca="1">IFERROR(__xludf.DUMMYFUNCTION("""COMPUTED_VALUE"""),"Carson, D.A.")</f>
        <v>Carson, D.A.</v>
      </c>
      <c r="B121" s="12" t="str">
        <f ca="1">IFERROR(__xludf.DUMMYFUNCTION("""COMPUTED_VALUE""")," D.A. Carson")</f>
        <v xml:space="preserve"> D.A. Carson</v>
      </c>
      <c r="C121" s="12" t="str">
        <f ca="1">IFERROR(__xludf.DUMMYFUNCTION("""COMPUTED_VALUE"""),"Memoirs of an Ordinary Pastor")</f>
        <v>Memoirs of an Ordinary Pastor</v>
      </c>
      <c r="D121" s="4"/>
      <c r="E121" s="12" t="str">
        <f ca="1">IFERROR(__xludf.DUMMYFUNCTION("""COMPUTED_VALUE"""),"Book")</f>
        <v>Book</v>
      </c>
      <c r="F121" s="12" t="str">
        <f ca="1">IFERROR(__xludf.DUMMYFUNCTION("""COMPUTED_VALUE"""),"Biography")</f>
        <v>Biography</v>
      </c>
      <c r="G121" s="12"/>
      <c r="H121" s="12"/>
      <c r="I121" s="12"/>
      <c r="J121" s="12"/>
      <c r="K121" s="13">
        <f ca="1">IFERROR(__xludf.DUMMYFUNCTION("""COMPUTED_VALUE"""),40369)</f>
        <v>40369</v>
      </c>
      <c r="L121" s="12"/>
      <c r="M121" s="12"/>
      <c r="N121" s="12" t="str">
        <f ca="1">IFERROR(__xludf.DUMMYFUNCTION("""COMPUTED_VALUE"""),"Table1")</f>
        <v>Table1</v>
      </c>
    </row>
    <row r="122" spans="1:14" ht="15.75" customHeight="1" x14ac:dyDescent="0.35">
      <c r="A122" s="12" t="str">
        <f ca="1">IFERROR(__xludf.DUMMYFUNCTION("""COMPUTED_VALUE"""),"Carson, D.A.")</f>
        <v>Carson, D.A.</v>
      </c>
      <c r="B122" s="12" t="str">
        <f ca="1">IFERROR(__xludf.DUMMYFUNCTION("""COMPUTED_VALUE""")," D.A. Carson")</f>
        <v xml:space="preserve"> D.A. Carson</v>
      </c>
      <c r="C122" s="12" t="str">
        <f ca="1">IFERROR(__xludf.DUMMYFUNCTION("""COMPUTED_VALUE"""),"The Scriptures Testify About Me")</f>
        <v>The Scriptures Testify About Me</v>
      </c>
      <c r="D122" s="4"/>
      <c r="E122" s="12" t="str">
        <f ca="1">IFERROR(__xludf.DUMMYFUNCTION("""COMPUTED_VALUE"""),"Book")</f>
        <v>Book</v>
      </c>
      <c r="F122" s="12" t="str">
        <f ca="1">IFERROR(__xludf.DUMMYFUNCTION("""COMPUTED_VALUE"""),"Theology")</f>
        <v>Theology</v>
      </c>
      <c r="G122" s="12"/>
      <c r="H122" s="12"/>
      <c r="I122" s="12"/>
      <c r="J122" s="12"/>
      <c r="K122" s="13">
        <f ca="1">IFERROR(__xludf.DUMMYFUNCTION("""COMPUTED_VALUE"""),41560)</f>
        <v>41560</v>
      </c>
      <c r="L122" s="12"/>
      <c r="M122" s="12"/>
      <c r="N122" s="12" t="str">
        <f ca="1">IFERROR(__xludf.DUMMYFUNCTION("""COMPUTED_VALUE"""),"Table1")</f>
        <v>Table1</v>
      </c>
    </row>
    <row r="123" spans="1:14" ht="15.75" customHeight="1" x14ac:dyDescent="0.35">
      <c r="A123" s="12" t="str">
        <f ca="1">IFERROR(__xludf.DUMMYFUNCTION("""COMPUTED_VALUE"""),"Carswell, Roger")</f>
        <v>Carswell, Roger</v>
      </c>
      <c r="B123" s="12" t="str">
        <f ca="1">IFERROR(__xludf.DUMMYFUNCTION("""COMPUTED_VALUE""")," Roger Carswell")</f>
        <v xml:space="preserve"> Roger Carswell</v>
      </c>
      <c r="C123" s="12" t="str">
        <f ca="1">IFERROR(__xludf.DUMMYFUNCTION("""COMPUTED_VALUE"""),"Grill a Christian: Answers to Touch Questions about Christianity, God and the Bible")</f>
        <v>Grill a Christian: Answers to Touch Questions about Christianity, God and the Bible</v>
      </c>
      <c r="D123" s="4"/>
      <c r="E123" s="12" t="str">
        <f ca="1">IFERROR(__xludf.DUMMYFUNCTION("""COMPUTED_VALUE"""),"Book")</f>
        <v>Book</v>
      </c>
      <c r="F123" s="12" t="str">
        <f ca="1">IFERROR(__xludf.DUMMYFUNCTION("""COMPUTED_VALUE"""),"Theology")</f>
        <v>Theology</v>
      </c>
      <c r="G123" s="12"/>
      <c r="H123" s="12"/>
      <c r="I123" s="12"/>
      <c r="J123" s="12" t="str">
        <f ca="1">IFERROR(__xludf.DUMMYFUNCTION("""COMPUTED_VALUE"""),"Apologetics")</f>
        <v>Apologetics</v>
      </c>
      <c r="K123" s="13">
        <f ca="1">IFERROR(__xludf.DUMMYFUNCTION("""COMPUTED_VALUE"""),44772)</f>
        <v>44772</v>
      </c>
      <c r="L123" s="12"/>
      <c r="M123" s="12"/>
      <c r="N123" s="12" t="str">
        <f ca="1">IFERROR(__xludf.DUMMYFUNCTION("""COMPUTED_VALUE"""),"Table1")</f>
        <v>Table1</v>
      </c>
    </row>
    <row r="124" spans="1:14" ht="15.75" customHeight="1" x14ac:dyDescent="0.35">
      <c r="A124" s="12" t="str">
        <f ca="1">IFERROR(__xludf.DUMMYFUNCTION("""COMPUTED_VALUE"""),"Carter, Anthony J.")</f>
        <v>Carter, Anthony J.</v>
      </c>
      <c r="B124" s="12" t="str">
        <f ca="1">IFERROR(__xludf.DUMMYFUNCTION("""COMPUTED_VALUE""")," Anthony J. Carter")</f>
        <v xml:space="preserve"> Anthony J. Carter</v>
      </c>
      <c r="C124" s="12" t="str">
        <f ca="1">IFERROR(__xludf.DUMMYFUNCTION("""COMPUTED_VALUE"""),"Dying to Speak: Meditations from the Cross")</f>
        <v>Dying to Speak: Meditations from the Cross</v>
      </c>
      <c r="D124" s="4" t="str">
        <f ca="1">IFERROR(__xludf.DUMMYFUNCTION("""COMPUTED_VALUE"""),"Lee Fowler")</f>
        <v>Lee Fowler</v>
      </c>
      <c r="E124" s="12" t="str">
        <f ca="1">IFERROR(__xludf.DUMMYFUNCTION("""COMPUTED_VALUE"""),"Book")</f>
        <v>Book</v>
      </c>
      <c r="F124" s="12" t="str">
        <f ca="1">IFERROR(__xludf.DUMMYFUNCTION("""COMPUTED_VALUE"""),"Salvation")</f>
        <v>Salvation</v>
      </c>
      <c r="G124" s="12"/>
      <c r="H124" s="12"/>
      <c r="I124" s="12"/>
      <c r="J124" s="12"/>
      <c r="K124" s="13">
        <f ca="1">IFERROR(__xludf.DUMMYFUNCTION("""COMPUTED_VALUE"""),44240)</f>
        <v>44240</v>
      </c>
      <c r="L124" s="12"/>
      <c r="M124" s="12"/>
      <c r="N124" s="12" t="str">
        <f ca="1">IFERROR(__xludf.DUMMYFUNCTION("""COMPUTED_VALUE"""),"Table1")</f>
        <v>Table1</v>
      </c>
    </row>
    <row r="125" spans="1:14" ht="15.75" customHeight="1" x14ac:dyDescent="0.35">
      <c r="A125" s="12" t="str">
        <f ca="1">IFERROR(__xludf.DUMMYFUNCTION("""COMPUTED_VALUE"""),"Castleman, Robbie")</f>
        <v>Castleman, Robbie</v>
      </c>
      <c r="B125" s="12" t="str">
        <f ca="1">IFERROR(__xludf.DUMMYFUNCTION("""COMPUTED_VALUE""")," Robbie Castleman")</f>
        <v xml:space="preserve"> Robbie Castleman</v>
      </c>
      <c r="C125" s="12" t="str">
        <f ca="1">IFERROR(__xludf.DUMMYFUNCTION("""COMPUTED_VALUE"""),"Parenting in the Pew: Guiding Your Children into the Joy of Worship")</f>
        <v>Parenting in the Pew: Guiding Your Children into the Joy of Worship</v>
      </c>
      <c r="D125" s="4"/>
      <c r="E125" s="12" t="str">
        <f ca="1">IFERROR(__xludf.DUMMYFUNCTION("""COMPUTED_VALUE"""),"Book")</f>
        <v>Book</v>
      </c>
      <c r="F125" s="12" t="str">
        <f ca="1">IFERROR(__xludf.DUMMYFUNCTION("""COMPUTED_VALUE"""),"Understanding Mankind")</f>
        <v>Understanding Mankind</v>
      </c>
      <c r="G125" s="12" t="str">
        <f ca="1">IFERROR(__xludf.DUMMYFUNCTION("""COMPUTED_VALUE"""),"Church?")</f>
        <v>Church?</v>
      </c>
      <c r="H125" s="12"/>
      <c r="I125" s="12"/>
      <c r="J125" s="12" t="str">
        <f ca="1">IFERROR(__xludf.DUMMYFUNCTION("""COMPUTED_VALUE"""),"Parenting")</f>
        <v>Parenting</v>
      </c>
      <c r="K125" s="13">
        <f ca="1">IFERROR(__xludf.DUMMYFUNCTION("""COMPUTED_VALUE"""),42353)</f>
        <v>42353</v>
      </c>
      <c r="L125" s="12"/>
      <c r="M125" s="12"/>
      <c r="N125" s="12" t="str">
        <f ca="1">IFERROR(__xludf.DUMMYFUNCTION("""COMPUTED_VALUE"""),"Table1")</f>
        <v>Table1</v>
      </c>
    </row>
    <row r="126" spans="1:14" ht="15.75" customHeight="1" x14ac:dyDescent="0.35">
      <c r="A126" s="12" t="str">
        <f ca="1">IFERROR(__xludf.DUMMYFUNCTION("""COMPUTED_VALUE"""),"Catherwood, Christopher")</f>
        <v>Catherwood, Christopher</v>
      </c>
      <c r="B126" s="12" t="str">
        <f ca="1">IFERROR(__xludf.DUMMYFUNCTION("""COMPUTED_VALUE""")," Christopher Catherwood")</f>
        <v xml:space="preserve"> Christopher Catherwood</v>
      </c>
      <c r="C126" s="12" t="str">
        <f ca="1">IFERROR(__xludf.DUMMYFUNCTION("""COMPUTED_VALUE"""),"Martyn Lloyd-Jones: From Wales to Westminster")</f>
        <v>Martyn Lloyd-Jones: From Wales to Westminster</v>
      </c>
      <c r="D126" s="4" t="str">
        <f ca="1">IFERROR(__xludf.DUMMYFUNCTION("""COMPUTED_VALUE"""),"Trailblazers")</f>
        <v>Trailblazers</v>
      </c>
      <c r="E126" s="12" t="str">
        <f ca="1">IFERROR(__xludf.DUMMYFUNCTION("""COMPUTED_VALUE"""),"Book")</f>
        <v>Book</v>
      </c>
      <c r="F126" s="12" t="str">
        <f ca="1">IFERROR(__xludf.DUMMYFUNCTION("""COMPUTED_VALUE"""),"Children")</f>
        <v>Children</v>
      </c>
      <c r="G126" s="12"/>
      <c r="H126" s="12"/>
      <c r="I126" s="12"/>
      <c r="J126" s="12"/>
      <c r="K126" s="13">
        <f ca="1">IFERROR(__xludf.DUMMYFUNCTION("""COMPUTED_VALUE"""),42511)</f>
        <v>42511</v>
      </c>
      <c r="L126" s="12"/>
      <c r="M126" s="12"/>
      <c r="N126" s="12" t="str">
        <f ca="1">IFERROR(__xludf.DUMMYFUNCTION("""COMPUTED_VALUE"""),"Table1")</f>
        <v>Table1</v>
      </c>
    </row>
    <row r="127" spans="1:14" ht="15.75" customHeight="1" x14ac:dyDescent="0.35">
      <c r="A127" s="12" t="str">
        <f ca="1">IFERROR(__xludf.DUMMYFUNCTION("""COMPUTED_VALUE"""),"Challies, Tim")</f>
        <v>Challies, Tim</v>
      </c>
      <c r="B127" s="12" t="str">
        <f ca="1">IFERROR(__xludf.DUMMYFUNCTION("""COMPUTED_VALUE""")," Tim Challies")</f>
        <v xml:space="preserve"> Tim Challies</v>
      </c>
      <c r="C127" s="12" t="str">
        <f ca="1">IFERROR(__xludf.DUMMYFUNCTION("""COMPUTED_VALUE"""),"Visual Theology: Seeing and Understanding the Truth About God ")</f>
        <v xml:space="preserve">Visual Theology: Seeing and Understanding the Truth About God </v>
      </c>
      <c r="D127" s="4" t="str">
        <f ca="1">IFERROR(__xludf.DUMMYFUNCTION("""COMPUTED_VALUE"""),"Josh Byers")</f>
        <v>Josh Byers</v>
      </c>
      <c r="E127" s="12" t="str">
        <f ca="1">IFERROR(__xludf.DUMMYFUNCTION("""COMPUTED_VALUE"""),"Book")</f>
        <v>Book</v>
      </c>
      <c r="F127" s="12" t="str">
        <f ca="1">IFERROR(__xludf.DUMMYFUNCTION("""COMPUTED_VALUE"""),"Theology")</f>
        <v>Theology</v>
      </c>
      <c r="G127" s="12"/>
      <c r="H127" s="12"/>
      <c r="I127" s="12"/>
      <c r="J127" s="12"/>
      <c r="K127" s="13">
        <f ca="1">IFERROR(__xludf.DUMMYFUNCTION("""COMPUTED_VALUE"""),42561)</f>
        <v>42561</v>
      </c>
      <c r="L127" s="12"/>
      <c r="M127" s="12"/>
      <c r="N127" s="12" t="str">
        <f ca="1">IFERROR(__xludf.DUMMYFUNCTION("""COMPUTED_VALUE"""),"Table1")</f>
        <v>Table1</v>
      </c>
    </row>
    <row r="128" spans="1:14" ht="15.75" customHeight="1" x14ac:dyDescent="0.35">
      <c r="A128" s="12" t="str">
        <f ca="1">IFERROR(__xludf.DUMMYFUNCTION("""COMPUTED_VALUE"""),"Challies, Tim ")</f>
        <v xml:space="preserve">Challies, Tim </v>
      </c>
      <c r="B128" s="12" t="str">
        <f ca="1">IFERROR(__xludf.DUMMYFUNCTION("""COMPUTED_VALUE""")," Tim  Challies")</f>
        <v xml:space="preserve"> Tim  Challies</v>
      </c>
      <c r="C128" s="12" t="str">
        <f ca="1">IFERROR(__xludf.DUMMYFUNCTION("""COMPUTED_VALUE"""),"The Next Story: Life and Faith after the Digital Explosion")</f>
        <v>The Next Story: Life and Faith after the Digital Explosion</v>
      </c>
      <c r="D128" s="4"/>
      <c r="E128" s="12" t="str">
        <f ca="1">IFERROR(__xludf.DUMMYFUNCTION("""COMPUTED_VALUE"""),"Book")</f>
        <v>Book</v>
      </c>
      <c r="F128" s="12" t="str">
        <f ca="1">IFERROR(__xludf.DUMMYFUNCTION("""COMPUTED_VALUE"""),"Worldview")</f>
        <v>Worldview</v>
      </c>
      <c r="G128" s="12"/>
      <c r="H128" s="12"/>
      <c r="I128" s="12"/>
      <c r="J128" s="12" t="str">
        <f ca="1">IFERROR(__xludf.DUMMYFUNCTION("""COMPUTED_VALUE"""),"Digital Age")</f>
        <v>Digital Age</v>
      </c>
      <c r="K128" s="13"/>
      <c r="L128" s="12"/>
      <c r="M128" s="12"/>
      <c r="N128" s="12" t="str">
        <f ca="1">IFERROR(__xludf.DUMMYFUNCTION("""COMPUTED_VALUE"""),"Table1")</f>
        <v>Table1</v>
      </c>
    </row>
    <row r="129" spans="1:14" ht="15.75" customHeight="1" x14ac:dyDescent="0.35">
      <c r="A129" s="12" t="str">
        <f ca="1">IFERROR(__xludf.DUMMYFUNCTION("""COMPUTED_VALUE"""),"Challies, Tim/R.W. Glenn")</f>
        <v>Challies, Tim/R.W. Glenn</v>
      </c>
      <c r="B129" s="12" t="str">
        <f ca="1">IFERROR(__xludf.DUMMYFUNCTION("""COMPUTED_VALUE""")," Tim/R.W. Glenn Challies")</f>
        <v xml:space="preserve"> Tim/R.W. Glenn Challies</v>
      </c>
      <c r="C129" s="12" t="str">
        <f ca="1">IFERROR(__xludf.DUMMYFUNCTION("""COMPUTED_VALUE"""),"Modest: Men and Women Clothed in the Gospel")</f>
        <v>Modest: Men and Women Clothed in the Gospel</v>
      </c>
      <c r="D129" s="4"/>
      <c r="E129" s="12" t="str">
        <f ca="1">IFERROR(__xludf.DUMMYFUNCTION("""COMPUTED_VALUE"""),"Book")</f>
        <v>Book</v>
      </c>
      <c r="F129" s="12" t="str">
        <f ca="1">IFERROR(__xludf.DUMMYFUNCTION("""COMPUTED_VALUE"""),"Understanding Mankind")</f>
        <v>Understanding Mankind</v>
      </c>
      <c r="G129" s="12"/>
      <c r="H129" s="12"/>
      <c r="I129" s="12"/>
      <c r="J129" s="12" t="str">
        <f ca="1">IFERROR(__xludf.DUMMYFUNCTION("""COMPUTED_VALUE"""),"Modesty")</f>
        <v>Modesty</v>
      </c>
      <c r="K129" s="13">
        <f ca="1">IFERROR(__xludf.DUMMYFUNCTION("""COMPUTED_VALUE"""),41560)</f>
        <v>41560</v>
      </c>
      <c r="L129" s="12"/>
      <c r="M129" s="12"/>
      <c r="N129" s="12" t="str">
        <f ca="1">IFERROR(__xludf.DUMMYFUNCTION("""COMPUTED_VALUE"""),"Table1")</f>
        <v>Table1</v>
      </c>
    </row>
    <row r="130" spans="1:14" ht="15.75" customHeight="1" x14ac:dyDescent="0.35">
      <c r="A130" s="12" t="str">
        <f ca="1">IFERROR(__xludf.DUMMYFUNCTION("""COMPUTED_VALUE"""),"Chandler, Lauren")</f>
        <v>Chandler, Lauren</v>
      </c>
      <c r="B130" s="12" t="str">
        <f ca="1">IFERROR(__xludf.DUMMYFUNCTION("""COMPUTED_VALUE""")," Lauren Chandler")</f>
        <v xml:space="preserve"> Lauren Chandler</v>
      </c>
      <c r="C130" s="12" t="str">
        <f ca="1">IFERROR(__xludf.DUMMYFUNCTION("""COMPUTED_VALUE"""),"Goodbye to Goodbyes: A True Story about Jesus, Lazarus, and an Empty Tomb")</f>
        <v>Goodbye to Goodbyes: A True Story about Jesus, Lazarus, and an Empty Tomb</v>
      </c>
      <c r="D130" s="4" t="str">
        <f ca="1">IFERROR(__xludf.DUMMYFUNCTION("""COMPUTED_VALUE"""),"Tales that Tell the Truth")</f>
        <v>Tales that Tell the Truth</v>
      </c>
      <c r="E130" s="12" t="str">
        <f ca="1">IFERROR(__xludf.DUMMYFUNCTION("""COMPUTED_VALUE"""),"Book")</f>
        <v>Book</v>
      </c>
      <c r="F130" s="12" t="str">
        <f ca="1">IFERROR(__xludf.DUMMYFUNCTION("""COMPUTED_VALUE"""),"Children")</f>
        <v>Children</v>
      </c>
      <c r="G130" s="12"/>
      <c r="H130" s="12"/>
      <c r="I130" s="12"/>
      <c r="J130" s="12"/>
      <c r="K130" s="13">
        <f ca="1">IFERROR(__xludf.DUMMYFUNCTION("""COMPUTED_VALUE"""),44044)</f>
        <v>44044</v>
      </c>
      <c r="L130" s="12"/>
      <c r="M130" s="12"/>
      <c r="N130" s="12" t="str">
        <f ca="1">IFERROR(__xludf.DUMMYFUNCTION("""COMPUTED_VALUE"""),"Table1")</f>
        <v>Table1</v>
      </c>
    </row>
    <row r="131" spans="1:14" ht="15.75" customHeight="1" x14ac:dyDescent="0.35">
      <c r="A131" s="12" t="str">
        <f ca="1">IFERROR(__xludf.DUMMYFUNCTION("""COMPUTED_VALUE"""),"Chantry, Walter J.")</f>
        <v>Chantry, Walter J.</v>
      </c>
      <c r="B131" s="12" t="str">
        <f ca="1">IFERROR(__xludf.DUMMYFUNCTION("""COMPUTED_VALUE""")," Walter J. Chantry")</f>
        <v xml:space="preserve"> Walter J. Chantry</v>
      </c>
      <c r="C131" s="12" t="str">
        <f ca="1">IFERROR(__xludf.DUMMYFUNCTION("""COMPUTED_VALUE"""),"Signs of the Apostles: Observations on Pentecostalism, Old and New")</f>
        <v>Signs of the Apostles: Observations on Pentecostalism, Old and New</v>
      </c>
      <c r="D131" s="4"/>
      <c r="E131" s="12" t="str">
        <f ca="1">IFERROR(__xludf.DUMMYFUNCTION("""COMPUTED_VALUE"""),"Book")</f>
        <v>Book</v>
      </c>
      <c r="F131" s="12" t="str">
        <f ca="1">IFERROR(__xludf.DUMMYFUNCTION("""COMPUTED_VALUE"""),"Theology")</f>
        <v>Theology</v>
      </c>
      <c r="G131" s="12"/>
      <c r="H131" s="12"/>
      <c r="I131" s="12"/>
      <c r="J131" s="12" t="str">
        <f ca="1">IFERROR(__xludf.DUMMYFUNCTION("""COMPUTED_VALUE"""),"Pentecostalism")</f>
        <v>Pentecostalism</v>
      </c>
      <c r="K131" s="13">
        <f ca="1">IFERROR(__xludf.DUMMYFUNCTION("""COMPUTED_VALUE"""),44044)</f>
        <v>44044</v>
      </c>
      <c r="L131" s="12"/>
      <c r="M131" s="12"/>
      <c r="N131" s="12" t="str">
        <f ca="1">IFERROR(__xludf.DUMMYFUNCTION("""COMPUTED_VALUE"""),"Table1")</f>
        <v>Table1</v>
      </c>
    </row>
    <row r="132" spans="1:14" ht="15.75" customHeight="1" x14ac:dyDescent="0.35">
      <c r="A132" s="12" t="str">
        <f ca="1">IFERROR(__xludf.DUMMYFUNCTION("""COMPUTED_VALUE"""),"Chapell, Bryan")</f>
        <v>Chapell, Bryan</v>
      </c>
      <c r="B132" s="12" t="str">
        <f ca="1">IFERROR(__xludf.DUMMYFUNCTION("""COMPUTED_VALUE""")," Bryan Chapell")</f>
        <v xml:space="preserve"> Bryan Chapell</v>
      </c>
      <c r="C132" s="12" t="str">
        <f ca="1">IFERROR(__xludf.DUMMYFUNCTION("""COMPUTED_VALUE"""),"Holiness by Grace")</f>
        <v>Holiness by Grace</v>
      </c>
      <c r="D132" s="4"/>
      <c r="E132" s="12" t="str">
        <f ca="1">IFERROR(__xludf.DUMMYFUNCTION("""COMPUTED_VALUE"""),"Book")</f>
        <v>Book</v>
      </c>
      <c r="F132" s="12" t="str">
        <f ca="1">IFERROR(__xludf.DUMMYFUNCTION("""COMPUTED_VALUE"""),"Discipleship")</f>
        <v>Discipleship</v>
      </c>
      <c r="G132" s="12"/>
      <c r="H132" s="12"/>
      <c r="I132" s="12"/>
      <c r="J132" s="12"/>
      <c r="K132" s="13">
        <f ca="1">IFERROR(__xludf.DUMMYFUNCTION("""COMPUTED_VALUE"""),40034)</f>
        <v>40034</v>
      </c>
      <c r="L132" s="12"/>
      <c r="M132" s="12"/>
      <c r="N132" s="12" t="str">
        <f ca="1">IFERROR(__xludf.DUMMYFUNCTION("""COMPUTED_VALUE"""),"Table1")</f>
        <v>Table1</v>
      </c>
    </row>
    <row r="133" spans="1:14" ht="15.75" customHeight="1" x14ac:dyDescent="0.35">
      <c r="A133" s="12" t="str">
        <f ca="1">IFERROR(__xludf.DUMMYFUNCTION("""COMPUTED_VALUE"""),"Chapell, Bryan")</f>
        <v>Chapell, Bryan</v>
      </c>
      <c r="B133" s="12" t="str">
        <f ca="1">IFERROR(__xludf.DUMMYFUNCTION("""COMPUTED_VALUE""")," Bryan Chapell")</f>
        <v xml:space="preserve"> Bryan Chapell</v>
      </c>
      <c r="C133" s="12" t="str">
        <f ca="1">IFERROR(__xludf.DUMMYFUNCTION("""COMPUTED_VALUE"""),"I'll Love You Anyway &amp; Always")</f>
        <v>I'll Love You Anyway &amp; Always</v>
      </c>
      <c r="D133" s="4"/>
      <c r="E133" s="12" t="str">
        <f ca="1">IFERROR(__xludf.DUMMYFUNCTION("""COMPUTED_VALUE"""),"Book")</f>
        <v>Book</v>
      </c>
      <c r="F133" s="12" t="str">
        <f ca="1">IFERROR(__xludf.DUMMYFUNCTION("""COMPUTED_VALUE"""),"Children")</f>
        <v>Children</v>
      </c>
      <c r="G133" s="12"/>
      <c r="H133" s="12"/>
      <c r="I133" s="12"/>
      <c r="J133" s="12"/>
      <c r="K133" s="13">
        <f ca="1">IFERROR(__xludf.DUMMYFUNCTION("""COMPUTED_VALUE"""),40674)</f>
        <v>40674</v>
      </c>
      <c r="L133" s="12"/>
      <c r="M133" s="12"/>
      <c r="N133" s="12" t="str">
        <f ca="1">IFERROR(__xludf.DUMMYFUNCTION("""COMPUTED_VALUE"""),"Table1")</f>
        <v>Table1</v>
      </c>
    </row>
    <row r="134" spans="1:14" ht="15.75" customHeight="1" x14ac:dyDescent="0.35">
      <c r="A134" s="12" t="str">
        <f ca="1">IFERROR(__xludf.DUMMYFUNCTION("""COMPUTED_VALUE"""),"Chediak, Alex")</f>
        <v>Chediak, Alex</v>
      </c>
      <c r="B134" s="12" t="str">
        <f ca="1">IFERROR(__xludf.DUMMYFUNCTION("""COMPUTED_VALUE""")," Alex Chediak")</f>
        <v xml:space="preserve"> Alex Chediak</v>
      </c>
      <c r="C134" s="12" t="str">
        <f ca="1">IFERROR(__xludf.DUMMYFUNCTION("""COMPUTED_VALUE"""),"With One Voice: Singleness, Dating &amp; Marriage to the Glory of God")</f>
        <v>With One Voice: Singleness, Dating &amp; Marriage to the Glory of God</v>
      </c>
      <c r="D134" s="4"/>
      <c r="E134" s="12" t="str">
        <f ca="1">IFERROR(__xludf.DUMMYFUNCTION("""COMPUTED_VALUE"""),"Book")</f>
        <v>Book</v>
      </c>
      <c r="F134" s="12" t="str">
        <f ca="1">IFERROR(__xludf.DUMMYFUNCTION("""COMPUTED_VALUE"""),"Understanding Mankind")</f>
        <v>Understanding Mankind</v>
      </c>
      <c r="G134" s="12"/>
      <c r="H134" s="12"/>
      <c r="I134" s="12"/>
      <c r="J134" s="12" t="str">
        <f ca="1">IFERROR(__xludf.DUMMYFUNCTION("""COMPUTED_VALUE"""),"Singleness, Dating, Marriage")</f>
        <v>Singleness, Dating, Marriage</v>
      </c>
      <c r="K134" s="13">
        <f ca="1">IFERROR(__xludf.DUMMYFUNCTION("""COMPUTED_VALUE"""),42705)</f>
        <v>42705</v>
      </c>
      <c r="L134" s="12"/>
      <c r="M134" s="12"/>
      <c r="N134" s="12" t="str">
        <f ca="1">IFERROR(__xludf.DUMMYFUNCTION("""COMPUTED_VALUE"""),"Table1")</f>
        <v>Table1</v>
      </c>
    </row>
    <row r="135" spans="1:14" ht="15.75" customHeight="1" x14ac:dyDescent="0.35">
      <c r="A135" s="12" t="str">
        <f ca="1">IFERROR(__xludf.DUMMYFUNCTION("""COMPUTED_VALUE"""),"Cheng, Gordon")</f>
        <v>Cheng, Gordon</v>
      </c>
      <c r="B135" s="12" t="str">
        <f ca="1">IFERROR(__xludf.DUMMYFUNCTION("""COMPUTED_VALUE""")," Gordon Cheng")</f>
        <v xml:space="preserve"> Gordon Cheng</v>
      </c>
      <c r="C135" s="12" t="str">
        <f ca="1">IFERROR(__xludf.DUMMYFUNCTION("""COMPUTED_VALUE"""),"Encouragement: How Words Change Lives")</f>
        <v>Encouragement: How Words Change Lives</v>
      </c>
      <c r="D135" s="4" t="str">
        <f ca="1">IFERROR(__xludf.DUMMYFUNCTION("""COMPUTED_VALUE"""),"Guidebooks for Life")</f>
        <v>Guidebooks for Life</v>
      </c>
      <c r="E135" s="12" t="str">
        <f ca="1">IFERROR(__xludf.DUMMYFUNCTION("""COMPUTED_VALUE"""),"Book")</f>
        <v>Book</v>
      </c>
      <c r="F135" s="12" t="str">
        <f ca="1">IFERROR(__xludf.DUMMYFUNCTION("""COMPUTED_VALUE"""),"Understanding Mankind")</f>
        <v>Understanding Mankind</v>
      </c>
      <c r="G135" s="12"/>
      <c r="H135" s="12"/>
      <c r="I135" s="12"/>
      <c r="J135" s="12" t="str">
        <f ca="1">IFERROR(__xludf.DUMMYFUNCTION("""COMPUTED_VALUE"""),"Fellowship")</f>
        <v>Fellowship</v>
      </c>
      <c r="K135" s="13">
        <f ca="1">IFERROR(__xludf.DUMMYFUNCTION("""COMPUTED_VALUE"""),40431)</f>
        <v>40431</v>
      </c>
      <c r="L135" s="12"/>
      <c r="M135" s="12"/>
      <c r="N135" s="12" t="str">
        <f ca="1">IFERROR(__xludf.DUMMYFUNCTION("""COMPUTED_VALUE"""),"Table1")</f>
        <v>Table1</v>
      </c>
    </row>
    <row r="136" spans="1:14" ht="15.75" customHeight="1" x14ac:dyDescent="0.35">
      <c r="A136" s="12" t="str">
        <f ca="1">IFERROR(__xludf.DUMMYFUNCTION("""COMPUTED_VALUE"""),"Christie, Vance")</f>
        <v>Christie, Vance</v>
      </c>
      <c r="B136" s="12" t="str">
        <f ca="1">IFERROR(__xludf.DUMMYFUNCTION("""COMPUTED_VALUE""")," Vance Christie")</f>
        <v xml:space="preserve"> Vance Christie</v>
      </c>
      <c r="C136" s="12" t="str">
        <f ca="1">IFERROR(__xludf.DUMMYFUNCTION("""COMPUTED_VALUE"""),"David Brainerd: A Flame for God")</f>
        <v>David Brainerd: A Flame for God</v>
      </c>
      <c r="D136" s="4"/>
      <c r="E136" s="12" t="str">
        <f ca="1">IFERROR(__xludf.DUMMYFUNCTION("""COMPUTED_VALUE"""),"Book")</f>
        <v>Book</v>
      </c>
      <c r="F136" s="12" t="str">
        <f ca="1">IFERROR(__xludf.DUMMYFUNCTION("""COMPUTED_VALUE"""),"Biography")</f>
        <v>Biography</v>
      </c>
      <c r="G136" s="12"/>
      <c r="H136" s="12"/>
      <c r="I136" s="12"/>
      <c r="J136" s="12" t="str">
        <f ca="1">IFERROR(__xludf.DUMMYFUNCTION("""COMPUTED_VALUE"""),"Missions")</f>
        <v>Missions</v>
      </c>
      <c r="K136" s="13">
        <f ca="1">IFERROR(__xludf.DUMMYFUNCTION("""COMPUTED_VALUE"""),41560)</f>
        <v>41560</v>
      </c>
      <c r="L136" s="12"/>
      <c r="M136" s="12"/>
      <c r="N136" s="12" t="str">
        <f ca="1">IFERROR(__xludf.DUMMYFUNCTION("""COMPUTED_VALUE"""),"Table1")</f>
        <v>Table1</v>
      </c>
    </row>
    <row r="137" spans="1:14" ht="15.75" customHeight="1" x14ac:dyDescent="0.35">
      <c r="A137" s="12" t="str">
        <f ca="1">IFERROR(__xludf.DUMMYFUNCTION("""COMPUTED_VALUE"""),"Christie, Vance")</f>
        <v>Christie, Vance</v>
      </c>
      <c r="B137" s="12" t="str">
        <f ca="1">IFERROR(__xludf.DUMMYFUNCTION("""COMPUTED_VALUE""")," Vance Christie")</f>
        <v xml:space="preserve"> Vance Christie</v>
      </c>
      <c r="C137" s="12" t="str">
        <f ca="1">IFERROR(__xludf.DUMMYFUNCTION("""COMPUTED_VALUE"""),"Hudson Taylor: Gospel Pioneer to China")</f>
        <v>Hudson Taylor: Gospel Pioneer to China</v>
      </c>
      <c r="D137" s="4"/>
      <c r="E137" s="12" t="str">
        <f ca="1">IFERROR(__xludf.DUMMYFUNCTION("""COMPUTED_VALUE"""),"Book")</f>
        <v>Book</v>
      </c>
      <c r="F137" s="12" t="str">
        <f ca="1">IFERROR(__xludf.DUMMYFUNCTION("""COMPUTED_VALUE"""),"Biography")</f>
        <v>Biography</v>
      </c>
      <c r="G137" s="12"/>
      <c r="H137" s="12"/>
      <c r="I137" s="12"/>
      <c r="J137" s="12" t="str">
        <f ca="1">IFERROR(__xludf.DUMMYFUNCTION("""COMPUTED_VALUE"""),"Missions")</f>
        <v>Missions</v>
      </c>
      <c r="K137" s="13"/>
      <c r="L137" s="12"/>
      <c r="M137" s="12"/>
      <c r="N137" s="12" t="str">
        <f ca="1">IFERROR(__xludf.DUMMYFUNCTION("""COMPUTED_VALUE"""),"Table1")</f>
        <v>Table1</v>
      </c>
    </row>
    <row r="138" spans="1:14" ht="15.75" customHeight="1" x14ac:dyDescent="0.35">
      <c r="A138" s="12" t="str">
        <f ca="1">IFERROR(__xludf.DUMMYFUNCTION("""COMPUTED_VALUE"""),"Clark, Jayne V.")</f>
        <v>Clark, Jayne V.</v>
      </c>
      <c r="B138" s="12" t="str">
        <f ca="1">IFERROR(__xludf.DUMMYFUNCTION("""COMPUTED_VALUE""")," Jayne V. Clark")</f>
        <v xml:space="preserve"> Jayne V. Clark</v>
      </c>
      <c r="C138" s="12" t="str">
        <f ca="1">IFERROR(__xludf.DUMMYFUNCTION("""COMPUTED_VALUE"""),"Tori Comes Out of Her Shell")</f>
        <v>Tori Comes Out of Her Shell</v>
      </c>
      <c r="D138" s="4" t="str">
        <f ca="1">IFERROR(__xludf.DUMMYFUNCTION("""COMPUTED_VALUE"""),"Good News for Little Hearts")</f>
        <v>Good News for Little Hearts</v>
      </c>
      <c r="E138" s="12" t="str">
        <f ca="1">IFERROR(__xludf.DUMMYFUNCTION("""COMPUTED_VALUE"""),"Book")</f>
        <v>Book</v>
      </c>
      <c r="F138" s="12" t="str">
        <f ca="1">IFERROR(__xludf.DUMMYFUNCTION("""COMPUTED_VALUE"""),"Children")</f>
        <v>Children</v>
      </c>
      <c r="G138" s="12"/>
      <c r="H138" s="12"/>
      <c r="I138" s="12"/>
      <c r="J138" s="12"/>
      <c r="K138" s="13">
        <f ca="1">IFERROR(__xludf.DUMMYFUNCTION("""COMPUTED_VALUE"""),43831)</f>
        <v>43831</v>
      </c>
      <c r="L138" s="12"/>
      <c r="M138" s="12"/>
      <c r="N138" s="12" t="str">
        <f ca="1">IFERROR(__xludf.DUMMYFUNCTION("""COMPUTED_VALUE"""),"Table1")</f>
        <v>Table1</v>
      </c>
    </row>
    <row r="139" spans="1:14" ht="15.75" customHeight="1" x14ac:dyDescent="0.35">
      <c r="A139" s="12" t="str">
        <f ca="1">IFERROR(__xludf.DUMMYFUNCTION("""COMPUTED_VALUE"""),"Clark, Lynette G.")</f>
        <v>Clark, Lynette G.</v>
      </c>
      <c r="B139" s="12" t="str">
        <f ca="1">IFERROR(__xludf.DUMMYFUNCTION("""COMPUTED_VALUE""")," Lynette G. Clark")</f>
        <v xml:space="preserve"> Lynette G. Clark</v>
      </c>
      <c r="C139" s="12" t="str">
        <f ca="1">IFERROR(__xludf.DUMMYFUNCTION("""COMPUTED_VALUE"""),"Far Above Rubies: The Life of Bethan Lloyd-Jones")</f>
        <v>Far Above Rubies: The Life of Bethan Lloyd-Jones</v>
      </c>
      <c r="D139" s="4"/>
      <c r="E139" s="12" t="str">
        <f ca="1">IFERROR(__xludf.DUMMYFUNCTION("""COMPUTED_VALUE"""),"Book")</f>
        <v>Book</v>
      </c>
      <c r="F139" s="12" t="str">
        <f ca="1">IFERROR(__xludf.DUMMYFUNCTION("""COMPUTED_VALUE"""),"Biography")</f>
        <v>Biography</v>
      </c>
      <c r="G139" s="12"/>
      <c r="H139" s="12"/>
      <c r="I139" s="12"/>
      <c r="J139" s="12"/>
      <c r="K139" s="13">
        <f ca="1">IFERROR(__xludf.DUMMYFUNCTION("""COMPUTED_VALUE"""),42309)</f>
        <v>42309</v>
      </c>
      <c r="L139" s="12"/>
      <c r="M139" s="12"/>
      <c r="N139" s="12" t="str">
        <f ca="1">IFERROR(__xludf.DUMMYFUNCTION("""COMPUTED_VALUE"""),"Table1")</f>
        <v>Table1</v>
      </c>
    </row>
    <row r="140" spans="1:14" ht="15.75" customHeight="1" x14ac:dyDescent="0.35">
      <c r="A140" s="12" t="str">
        <f ca="1">IFERROR(__xludf.DUMMYFUNCTION("""COMPUTED_VALUE"""),"Clark, Wayne C")</f>
        <v>Clark, Wayne C</v>
      </c>
      <c r="B140" s="12" t="str">
        <f ca="1">IFERROR(__xludf.DUMMYFUNCTION("""COMPUTED_VALUE""")," Wayne C Clark")</f>
        <v xml:space="preserve"> Wayne C Clark</v>
      </c>
      <c r="C140" s="12" t="str">
        <f ca="1">IFERROR(__xludf.DUMMYFUNCTION("""COMPUTED_VALUE"""),"The Meaning of Church Membership")</f>
        <v>The Meaning of Church Membership</v>
      </c>
      <c r="D140" s="4"/>
      <c r="E140" s="12" t="str">
        <f ca="1">IFERROR(__xludf.DUMMYFUNCTION("""COMPUTED_VALUE"""),"Book")</f>
        <v>Book</v>
      </c>
      <c r="F140" s="12" t="str">
        <f ca="1">IFERROR(__xludf.DUMMYFUNCTION("""COMPUTED_VALUE"""),"Church")</f>
        <v>Church</v>
      </c>
      <c r="G140" s="12"/>
      <c r="H140" s="12" t="str">
        <f ca="1">IFERROR(__xludf.DUMMYFUNCTION("""COMPUTED_VALUE"""),"9 Marks")</f>
        <v>9 Marks</v>
      </c>
      <c r="I140" s="12"/>
      <c r="J140" s="12" t="str">
        <f ca="1">IFERROR(__xludf.DUMMYFUNCTION("""COMPUTED_VALUE"""),"Church Membership")</f>
        <v>Church Membership</v>
      </c>
      <c r="K140" s="13">
        <f ca="1">IFERROR(__xludf.DUMMYFUNCTION("""COMPUTED_VALUE"""),40827)</f>
        <v>40827</v>
      </c>
      <c r="L140" s="12"/>
      <c r="M140" s="12"/>
      <c r="N140" s="12" t="str">
        <f ca="1">IFERROR(__xludf.DUMMYFUNCTION("""COMPUTED_VALUE"""),"Table1")</f>
        <v>Table1</v>
      </c>
    </row>
    <row r="141" spans="1:14" ht="15.75" customHeight="1" x14ac:dyDescent="0.35">
      <c r="A141" s="12" t="str">
        <f ca="1">IFERROR(__xludf.DUMMYFUNCTION("""COMPUTED_VALUE"""),"Clements, Philiip J., ed")</f>
        <v>Clements, Philiip J., ed</v>
      </c>
      <c r="B141" s="12" t="str">
        <f ca="1">IFERROR(__xludf.DUMMYFUNCTION("""COMPUTED_VALUE"""),"Clements, Philiip J., ed")</f>
        <v>Clements, Philiip J., ed</v>
      </c>
      <c r="C141" s="12" t="str">
        <f ca="1">IFERROR(__xludf.DUMMYFUNCTION("""COMPUTED_VALUE"""),"Business Ethics Today")</f>
        <v>Business Ethics Today</v>
      </c>
      <c r="D141" s="4"/>
      <c r="E141" s="12" t="str">
        <f ca="1">IFERROR(__xludf.DUMMYFUNCTION("""COMPUTED_VALUE"""),"Book")</f>
        <v>Book</v>
      </c>
      <c r="F141" s="12" t="str">
        <f ca="1">IFERROR(__xludf.DUMMYFUNCTION("""COMPUTED_VALUE"""),"Worldview")</f>
        <v>Worldview</v>
      </c>
      <c r="G141" s="12"/>
      <c r="H141" s="12"/>
      <c r="I141" s="12"/>
      <c r="J141" s="12" t="str">
        <f ca="1">IFERROR(__xludf.DUMMYFUNCTION("""COMPUTED_VALUE"""),"Vocation")</f>
        <v>Vocation</v>
      </c>
      <c r="K141" s="13">
        <f ca="1">IFERROR(__xludf.DUMMYFUNCTION("""COMPUTED_VALUE"""),42231)</f>
        <v>42231</v>
      </c>
      <c r="L141" s="12"/>
      <c r="M141" s="12"/>
      <c r="N141" s="12" t="str">
        <f ca="1">IFERROR(__xludf.DUMMYFUNCTION("""COMPUTED_VALUE"""),"Table1")</f>
        <v>Table1</v>
      </c>
    </row>
    <row r="142" spans="1:14" ht="15.75" customHeight="1" x14ac:dyDescent="0.35">
      <c r="A142" s="12" t="str">
        <f ca="1">IFERROR(__xludf.DUMMYFUNCTION("""COMPUTED_VALUE"""),"Clowney, Edmund P.")</f>
        <v>Clowney, Edmund P.</v>
      </c>
      <c r="B142" s="12" t="str">
        <f ca="1">IFERROR(__xludf.DUMMYFUNCTION("""COMPUTED_VALUE""")," Edmund P. Clowney")</f>
        <v xml:space="preserve"> Edmund P. Clowney</v>
      </c>
      <c r="C142" s="12" t="str">
        <f ca="1">IFERROR(__xludf.DUMMYFUNCTION("""COMPUTED_VALUE"""),"The Church")</f>
        <v>The Church</v>
      </c>
      <c r="D142" s="4"/>
      <c r="E142" s="12" t="str">
        <f ca="1">IFERROR(__xludf.DUMMYFUNCTION("""COMPUTED_VALUE"""),"Book")</f>
        <v>Book</v>
      </c>
      <c r="F142" s="12" t="str">
        <f ca="1">IFERROR(__xludf.DUMMYFUNCTION("""COMPUTED_VALUE"""),"Church")</f>
        <v>Church</v>
      </c>
      <c r="G142" s="12"/>
      <c r="H142" s="12"/>
      <c r="I142" s="12"/>
      <c r="J142" s="12"/>
      <c r="K142" s="13">
        <f ca="1">IFERROR(__xludf.DUMMYFUNCTION("""COMPUTED_VALUE"""),40034)</f>
        <v>40034</v>
      </c>
      <c r="L142" s="12"/>
      <c r="M142" s="12"/>
      <c r="N142" s="12" t="str">
        <f ca="1">IFERROR(__xludf.DUMMYFUNCTION("""COMPUTED_VALUE"""),"Table1")</f>
        <v>Table1</v>
      </c>
    </row>
    <row r="143" spans="1:14" ht="15.75" customHeight="1" x14ac:dyDescent="0.35">
      <c r="A143" s="12" t="str">
        <f ca="1">IFERROR(__xludf.DUMMYFUNCTION("""COMPUTED_VALUE"""),"Clowney, Edmund P.")</f>
        <v>Clowney, Edmund P.</v>
      </c>
      <c r="B143" s="12" t="str">
        <f ca="1">IFERROR(__xludf.DUMMYFUNCTION("""COMPUTED_VALUE""")," Edmund P. Clowney")</f>
        <v xml:space="preserve"> Edmund P. Clowney</v>
      </c>
      <c r="C143" s="12" t="str">
        <f ca="1">IFERROR(__xludf.DUMMYFUNCTION("""COMPUTED_VALUE"""),"The Unfolding Mystery")</f>
        <v>The Unfolding Mystery</v>
      </c>
      <c r="D143" s="4"/>
      <c r="E143" s="12" t="str">
        <f ca="1">IFERROR(__xludf.DUMMYFUNCTION("""COMPUTED_VALUE"""),"Book")</f>
        <v>Book</v>
      </c>
      <c r="F143" s="12" t="str">
        <f ca="1">IFERROR(__xludf.DUMMYFUNCTION("""COMPUTED_VALUE"""),"Theology")</f>
        <v>Theology</v>
      </c>
      <c r="G143" s="12"/>
      <c r="H143" s="12"/>
      <c r="I143" s="12"/>
      <c r="J143" s="12"/>
      <c r="K143" s="13"/>
      <c r="L143" s="12"/>
      <c r="M143" s="12"/>
      <c r="N143" s="12" t="str">
        <f ca="1">IFERROR(__xludf.DUMMYFUNCTION("""COMPUTED_VALUE"""),"Table1")</f>
        <v>Table1</v>
      </c>
    </row>
    <row r="144" spans="1:14" ht="15.75" customHeight="1" x14ac:dyDescent="0.35">
      <c r="A144" s="12" t="str">
        <f ca="1">IFERROR(__xludf.DUMMYFUNCTION("""COMPUTED_VALUE"""),"Cole, Cameron")</f>
        <v>Cole, Cameron</v>
      </c>
      <c r="B144" s="12" t="str">
        <f ca="1">IFERROR(__xludf.DUMMYFUNCTION("""COMPUTED_VALUE""")," Cameron Cole")</f>
        <v xml:space="preserve"> Cameron Cole</v>
      </c>
      <c r="C144" s="12" t="str">
        <f ca="1">IFERROR(__xludf.DUMMYFUNCTION("""COMPUTED_VALUE"""),"Therefore, I Have Hope: 12 Truths that Comfort, Sustain, and Redeem in Tragedy")</f>
        <v>Therefore, I Have Hope: 12 Truths that Comfort, Sustain, and Redeem in Tragedy</v>
      </c>
      <c r="D144" s="4"/>
      <c r="E144" s="12" t="str">
        <f ca="1">IFERROR(__xludf.DUMMYFUNCTION("""COMPUTED_VALUE"""),"Book")</f>
        <v>Book</v>
      </c>
      <c r="F144" s="12" t="str">
        <f ca="1">IFERROR(__xludf.DUMMYFUNCTION("""COMPUTED_VALUE"""),"Discipleship")</f>
        <v>Discipleship</v>
      </c>
      <c r="G144" s="12"/>
      <c r="H144" s="12"/>
      <c r="I144" s="12"/>
      <c r="J144" s="12" t="str">
        <f ca="1">IFERROR(__xludf.DUMMYFUNCTION("""COMPUTED_VALUE"""),"Grief")</f>
        <v>Grief</v>
      </c>
      <c r="K144" s="13"/>
      <c r="L144" s="12"/>
      <c r="M144" s="12"/>
      <c r="N144" s="12" t="str">
        <f ca="1">IFERROR(__xludf.DUMMYFUNCTION("""COMPUTED_VALUE"""),"Table1")</f>
        <v>Table1</v>
      </c>
    </row>
    <row r="145" spans="1:14" ht="15.75" customHeight="1" x14ac:dyDescent="0.35">
      <c r="A145" s="12" t="str">
        <f ca="1">IFERROR(__xludf.DUMMYFUNCTION("""COMPUTED_VALUE"""),"Cooper, Derek")</f>
        <v>Cooper, Derek</v>
      </c>
      <c r="B145" s="12" t="str">
        <f ca="1">IFERROR(__xludf.DUMMYFUNCTION("""COMPUTED_VALUE""")," Derek Cooper")</f>
        <v xml:space="preserve"> Derek Cooper</v>
      </c>
      <c r="C145" s="12" t="str">
        <f ca="1">IFERROR(__xludf.DUMMYFUNCTION("""COMPUTED_VALUE"""),"Christianity and World Religions")</f>
        <v>Christianity and World Religions</v>
      </c>
      <c r="D145" s="4"/>
      <c r="E145" s="12" t="str">
        <f ca="1">IFERROR(__xludf.DUMMYFUNCTION("""COMPUTED_VALUE"""),"Book")</f>
        <v>Book</v>
      </c>
      <c r="F145" s="12" t="str">
        <f ca="1">IFERROR(__xludf.DUMMYFUNCTION("""COMPUTED_VALUE"""),"Worldview")</f>
        <v>Worldview</v>
      </c>
      <c r="G145" s="12"/>
      <c r="H145" s="12"/>
      <c r="I145" s="12"/>
      <c r="J145" s="12" t="str">
        <f ca="1">IFERROR(__xludf.DUMMYFUNCTION("""COMPUTED_VALUE"""),"World Religions")</f>
        <v>World Religions</v>
      </c>
      <c r="K145" s="13"/>
      <c r="L145" s="12"/>
      <c r="M145" s="12"/>
      <c r="N145" s="12" t="str">
        <f ca="1">IFERROR(__xludf.DUMMYFUNCTION("""COMPUTED_VALUE"""),"Table1")</f>
        <v>Table1</v>
      </c>
    </row>
    <row r="146" spans="1:14" ht="15.75" customHeight="1" x14ac:dyDescent="0.35">
      <c r="A146" s="12" t="str">
        <f ca="1">IFERROR(__xludf.DUMMYFUNCTION("""COMPUTED_VALUE"""),"Corbett, Steve")</f>
        <v>Corbett, Steve</v>
      </c>
      <c r="B146" s="12" t="str">
        <f ca="1">IFERROR(__xludf.DUMMYFUNCTION("""COMPUTED_VALUE""")," Steve Corbett")</f>
        <v xml:space="preserve"> Steve Corbett</v>
      </c>
      <c r="C146" s="12" t="str">
        <f ca="1">IFERROR(__xludf.DUMMYFUNCTION("""COMPUTED_VALUE"""),"When Helping Hurts")</f>
        <v>When Helping Hurts</v>
      </c>
      <c r="D146" s="4" t="str">
        <f ca="1">IFERROR(__xludf.DUMMYFUNCTION("""COMPUTED_VALUE"""),"Fikkert")</f>
        <v>Fikkert</v>
      </c>
      <c r="E146" s="12" t="str">
        <f ca="1">IFERROR(__xludf.DUMMYFUNCTION("""COMPUTED_VALUE"""),"Book")</f>
        <v>Book</v>
      </c>
      <c r="F146" s="12" t="str">
        <f ca="1">IFERROR(__xludf.DUMMYFUNCTION("""COMPUTED_VALUE"""),"Understanding Mankind")</f>
        <v>Understanding Mankind</v>
      </c>
      <c r="G146" s="12"/>
      <c r="H146" s="12"/>
      <c r="I146" s="12"/>
      <c r="J146" s="12" t="str">
        <f ca="1">IFERROR(__xludf.DUMMYFUNCTION("""COMPUTED_VALUE"""),"Poverty, Charity")</f>
        <v>Poverty, Charity</v>
      </c>
      <c r="K146" s="13">
        <f ca="1">IFERROR(__xludf.DUMMYFUNCTION("""COMPUTED_VALUE"""),41102)</f>
        <v>41102</v>
      </c>
      <c r="L146" s="12"/>
      <c r="M146" s="12"/>
      <c r="N146" s="12" t="str">
        <f ca="1">IFERROR(__xludf.DUMMYFUNCTION("""COMPUTED_VALUE"""),"Table1")</f>
        <v>Table1</v>
      </c>
    </row>
    <row r="147" spans="1:14" ht="15.75" customHeight="1" x14ac:dyDescent="0.35">
      <c r="A147" s="12" t="str">
        <f ca="1">IFERROR(__xludf.DUMMYFUNCTION("""COMPUTED_VALUE"""),"Cosby, Brian  ")</f>
        <v xml:space="preserve">Cosby, Brian  </v>
      </c>
      <c r="B147" s="12" t="str">
        <f ca="1">IFERROR(__xludf.DUMMYFUNCTION("""COMPUTED_VALUE""")," Brian   Cosby")</f>
        <v xml:space="preserve"> Brian   Cosby</v>
      </c>
      <c r="C147" s="12" t="str">
        <f ca="1">IFERROR(__xludf.DUMMYFUNCTION("""COMPUTED_VALUE"""),"God's Story: A Student's Guide to Church History")</f>
        <v>God's Story: A Student's Guide to Church History</v>
      </c>
      <c r="D147" s="4"/>
      <c r="E147" s="12" t="str">
        <f ca="1">IFERROR(__xludf.DUMMYFUNCTION("""COMPUTED_VALUE"""),"Book")</f>
        <v>Book</v>
      </c>
      <c r="F147" s="12" t="str">
        <f ca="1">IFERROR(__xludf.DUMMYFUNCTION("""COMPUTED_VALUE"""),"Church History")</f>
        <v>Church History</v>
      </c>
      <c r="G147" s="12"/>
      <c r="H147" s="12"/>
      <c r="I147" s="12"/>
      <c r="J147" s="12" t="str">
        <f ca="1">IFERROR(__xludf.DUMMYFUNCTION("""COMPUTED_VALUE"""),"History")</f>
        <v>History</v>
      </c>
      <c r="K147" s="13">
        <f ca="1">IFERROR(__xludf.DUMMYFUNCTION("""COMPUTED_VALUE"""),43160)</f>
        <v>43160</v>
      </c>
      <c r="L147" s="12"/>
      <c r="M147" s="12"/>
      <c r="N147" s="12" t="str">
        <f ca="1">IFERROR(__xludf.DUMMYFUNCTION("""COMPUTED_VALUE"""),"Table1")</f>
        <v>Table1</v>
      </c>
    </row>
    <row r="148" spans="1:14" ht="15.75" customHeight="1" x14ac:dyDescent="0.35">
      <c r="A148" s="12" t="str">
        <f ca="1">IFERROR(__xludf.DUMMYFUNCTION("""COMPUTED_VALUE"""),"Cosby, Brian H.")</f>
        <v>Cosby, Brian H.</v>
      </c>
      <c r="B148" s="12" t="str">
        <f ca="1">IFERROR(__xludf.DUMMYFUNCTION("""COMPUTED_VALUE""")," Brian H. Cosby")</f>
        <v xml:space="preserve"> Brian H. Cosby</v>
      </c>
      <c r="C148" s="12" t="str">
        <f ca="1">IFERROR(__xludf.DUMMYFUNCTION("""COMPUTED_VALUE"""),"A Love for the Lost: David Brainerd")</f>
        <v>A Love for the Lost: David Brainerd</v>
      </c>
      <c r="D148" s="4" t="str">
        <f ca="1">IFERROR(__xludf.DUMMYFUNCTION("""COMPUTED_VALUE"""),"Trail Blazers")</f>
        <v>Trail Blazers</v>
      </c>
      <c r="E148" s="12" t="str">
        <f ca="1">IFERROR(__xludf.DUMMYFUNCTION("""COMPUTED_VALUE"""),"Book")</f>
        <v>Book</v>
      </c>
      <c r="F148" s="12" t="str">
        <f ca="1">IFERROR(__xludf.DUMMYFUNCTION("""COMPUTED_VALUE"""),"Children")</f>
        <v>Children</v>
      </c>
      <c r="G148" s="12"/>
      <c r="H148" s="12"/>
      <c r="I148" s="12"/>
      <c r="J148" s="12"/>
      <c r="K148" s="13">
        <f ca="1">IFERROR(__xludf.DUMMYFUNCTION("""COMPUTED_VALUE"""),41804)</f>
        <v>41804</v>
      </c>
      <c r="L148" s="12"/>
      <c r="M148" s="12"/>
      <c r="N148" s="12" t="str">
        <f ca="1">IFERROR(__xludf.DUMMYFUNCTION("""COMPUTED_VALUE"""),"Table1")</f>
        <v>Table1</v>
      </c>
    </row>
    <row r="149" spans="1:14" ht="15.75" customHeight="1" x14ac:dyDescent="0.35">
      <c r="A149" s="12" t="str">
        <f ca="1">IFERROR(__xludf.DUMMYFUNCTION("""COMPUTED_VALUE"""),"Crandall, Kimm")</f>
        <v>Crandall, Kimm</v>
      </c>
      <c r="B149" s="12" t="str">
        <f ca="1">IFERROR(__xludf.DUMMYFUNCTION("""COMPUTED_VALUE""")," Kimm Crandall")</f>
        <v xml:space="preserve"> Kimm Crandall</v>
      </c>
      <c r="C149" s="12" t="str">
        <f ca="1">IFERROR(__xludf.DUMMYFUNCTION("""COMPUTED_VALUE"""),"Christ in the Chaos: How the Gospel Changes Motherhood")</f>
        <v>Christ in the Chaos: How the Gospel Changes Motherhood</v>
      </c>
      <c r="D149" s="4"/>
      <c r="E149" s="12" t="str">
        <f ca="1">IFERROR(__xludf.DUMMYFUNCTION("""COMPUTED_VALUE"""),"Book")</f>
        <v>Book</v>
      </c>
      <c r="F149" s="12" t="str">
        <f ca="1">IFERROR(__xludf.DUMMYFUNCTION("""COMPUTED_VALUE"""),"Understanding Mankind")</f>
        <v>Understanding Mankind</v>
      </c>
      <c r="G149" s="12"/>
      <c r="H149" s="12"/>
      <c r="I149" s="12"/>
      <c r="J149" s="12" t="str">
        <f ca="1">IFERROR(__xludf.DUMMYFUNCTION("""COMPUTED_VALUE"""),"Parenting")</f>
        <v>Parenting</v>
      </c>
      <c r="K149" s="13">
        <f ca="1">IFERROR(__xludf.DUMMYFUNCTION("""COMPUTED_VALUE"""),41530)</f>
        <v>41530</v>
      </c>
      <c r="L149" s="12" t="str">
        <f ca="1">IFERROR(__xludf.DUMMYFUNCTION("""COMPUTED_VALUE"""),"Missing as of February 2020")</f>
        <v>Missing as of February 2020</v>
      </c>
      <c r="M149" s="12"/>
      <c r="N149" s="12" t="str">
        <f ca="1">IFERROR(__xludf.DUMMYFUNCTION("""COMPUTED_VALUE"""),"Table1")</f>
        <v>Table1</v>
      </c>
    </row>
    <row r="150" spans="1:14" ht="15.75" customHeight="1" x14ac:dyDescent="0.35">
      <c r="A150" s="12" t="str">
        <f ca="1">IFERROR(__xludf.DUMMYFUNCTION("""COMPUTED_VALUE"""),"Croce, Mandy")</f>
        <v>Croce, Mandy</v>
      </c>
      <c r="B150" s="12" t="str">
        <f ca="1">IFERROR(__xludf.DUMMYFUNCTION("""COMPUTED_VALUE""")," Mandy Croce")</f>
        <v xml:space="preserve"> Mandy Croce</v>
      </c>
      <c r="C150" s="12" t="str">
        <f ca="1">IFERROR(__xludf.DUMMYFUNCTION("""COMPUTED_VALUE"""),"What is the Church?")</f>
        <v>What is the Church?</v>
      </c>
      <c r="D150" s="4" t="str">
        <f ca="1">IFERROR(__xludf.DUMMYFUNCTION("""COMPUTED_VALUE"""),"Bell, Bill/ 9 Marks")</f>
        <v>Bell, Bill/ 9 Marks</v>
      </c>
      <c r="E150" s="12" t="str">
        <f ca="1">IFERROR(__xludf.DUMMYFUNCTION("""COMPUTED_VALUE"""),"Book")</f>
        <v>Book</v>
      </c>
      <c r="F150" s="12" t="str">
        <f ca="1">IFERROR(__xludf.DUMMYFUNCTION("""COMPUTED_VALUE"""),"Church")</f>
        <v>Church</v>
      </c>
      <c r="G150" s="12"/>
      <c r="H150" s="12"/>
      <c r="I150" s="12" t="str">
        <f ca="1">IFERROR(__xludf.DUMMYFUNCTION("""COMPUTED_VALUE"""),"9 Marks?")</f>
        <v>9 Marks?</v>
      </c>
      <c r="J150" s="12"/>
      <c r="K150" s="13"/>
      <c r="L150" s="12" t="str">
        <f ca="1">IFERROR(__xludf.DUMMYFUNCTION("""COMPUTED_VALUE"""),"Missing as of February 2020")</f>
        <v>Missing as of February 2020</v>
      </c>
      <c r="M150" s="12"/>
      <c r="N150" s="12" t="str">
        <f ca="1">IFERROR(__xludf.DUMMYFUNCTION("""COMPUTED_VALUE"""),"Table1")</f>
        <v>Table1</v>
      </c>
    </row>
    <row r="151" spans="1:14" ht="15.75" customHeight="1" x14ac:dyDescent="0.35">
      <c r="A151" s="12" t="str">
        <f ca="1">IFERROR(__xludf.DUMMYFUNCTION("""COMPUTED_VALUE"""),"Cross, John R.")</f>
        <v>Cross, John R.</v>
      </c>
      <c r="B151" s="12" t="str">
        <f ca="1">IFERROR(__xludf.DUMMYFUNCTION("""COMPUTED_VALUE""")," John R. Cross")</f>
        <v xml:space="preserve"> John R. Cross</v>
      </c>
      <c r="C151" s="12" t="str">
        <f ca="1">IFERROR(__xludf.DUMMYFUNCTION("""COMPUTED_VALUE"""),"The Stranger on the Road to Emmaus")</f>
        <v>The Stranger on the Road to Emmaus</v>
      </c>
      <c r="D151" s="4"/>
      <c r="E151" s="12" t="str">
        <f ca="1">IFERROR(__xludf.DUMMYFUNCTION("""COMPUTED_VALUE"""),"Book")</f>
        <v>Book</v>
      </c>
      <c r="F151" s="12" t="str">
        <f ca="1">IFERROR(__xludf.DUMMYFUNCTION("""COMPUTED_VALUE"""),"Salvation")</f>
        <v>Salvation</v>
      </c>
      <c r="G151" s="12" t="str">
        <f ca="1">IFERROR(__xludf.DUMMYFUNCTION("""COMPUTED_VALUE"""),"Bible")</f>
        <v>Bible</v>
      </c>
      <c r="H151" s="12"/>
      <c r="I151" s="12"/>
      <c r="J151" s="12"/>
      <c r="K151" s="13">
        <f ca="1">IFERROR(__xludf.DUMMYFUNCTION("""COMPUTED_VALUE"""),40034)</f>
        <v>40034</v>
      </c>
      <c r="L151" s="12"/>
      <c r="M151" s="12"/>
      <c r="N151" s="12" t="str">
        <f ca="1">IFERROR(__xludf.DUMMYFUNCTION("""COMPUTED_VALUE"""),"Table1")</f>
        <v>Table1</v>
      </c>
    </row>
    <row r="152" spans="1:14" ht="15.75" customHeight="1" x14ac:dyDescent="0.35">
      <c r="A152" s="12" t="str">
        <f ca="1">IFERROR(__xludf.DUMMYFUNCTION("""COMPUTED_VALUE"""),"Crowe, Brandon D.")</f>
        <v>Crowe, Brandon D.</v>
      </c>
      <c r="B152" s="12" t="str">
        <f ca="1">IFERROR(__xludf.DUMMYFUNCTION("""COMPUTED_VALUE""")," Brandon D. Crowe")</f>
        <v xml:space="preserve"> Brandon D. Crowe</v>
      </c>
      <c r="C152" s="12" t="str">
        <f ca="1">IFERROR(__xludf.DUMMYFUNCTION("""COMPUTED_VALUE"""),"Why Did Jesus Life a Perfect Life?  The Necessity of Christ's Obedience for Our Salvation")</f>
        <v>Why Did Jesus Life a Perfect Life?  The Necessity of Christ's Obedience for Our Salvation</v>
      </c>
      <c r="D152" s="4"/>
      <c r="E152" s="12" t="str">
        <f ca="1">IFERROR(__xludf.DUMMYFUNCTION("""COMPUTED_VALUE"""),"Book")</f>
        <v>Book</v>
      </c>
      <c r="F152" s="12" t="str">
        <f ca="1">IFERROR(__xludf.DUMMYFUNCTION("""COMPUTED_VALUE"""),"Salvation")</f>
        <v>Salvation</v>
      </c>
      <c r="G152" s="12"/>
      <c r="H152" s="12"/>
      <c r="I152" s="12"/>
      <c r="J152" s="12"/>
      <c r="K152" s="13">
        <f ca="1">IFERROR(__xludf.DUMMYFUNCTION("""COMPUTED_VALUE"""),44772)</f>
        <v>44772</v>
      </c>
      <c r="L152" s="12"/>
      <c r="M152" s="12"/>
      <c r="N152" s="12" t="str">
        <f ca="1">IFERROR(__xludf.DUMMYFUNCTION("""COMPUTED_VALUE"""),"Table1")</f>
        <v>Table1</v>
      </c>
    </row>
    <row r="153" spans="1:14" ht="15.75" customHeight="1" x14ac:dyDescent="0.35">
      <c r="A153" s="12" t="str">
        <f ca="1">IFERROR(__xludf.DUMMYFUNCTION("""COMPUTED_VALUE"""),"Crowe, Jaquelle")</f>
        <v>Crowe, Jaquelle</v>
      </c>
      <c r="B153" s="12" t="str">
        <f ca="1">IFERROR(__xludf.DUMMYFUNCTION("""COMPUTED_VALUE""")," Jaquelle Crowe")</f>
        <v xml:space="preserve"> Jaquelle Crowe</v>
      </c>
      <c r="C153" s="12" t="str">
        <f ca="1">IFERROR(__xludf.DUMMYFUNCTION("""COMPUTED_VALUE"""),"This Changes Everything: How the Gospel Transforms the Teen Years")</f>
        <v>This Changes Everything: How the Gospel Transforms the Teen Years</v>
      </c>
      <c r="D153" s="4"/>
      <c r="E153" s="12" t="str">
        <f ca="1">IFERROR(__xludf.DUMMYFUNCTION("""COMPUTED_VALUE"""),"Book")</f>
        <v>Book</v>
      </c>
      <c r="F153" s="12" t="str">
        <f ca="1">IFERROR(__xludf.DUMMYFUNCTION("""COMPUTED_VALUE"""),"Discipleship")</f>
        <v>Discipleship</v>
      </c>
      <c r="G153" s="12"/>
      <c r="H153" s="12"/>
      <c r="I153" s="12"/>
      <c r="J153" s="12" t="str">
        <f ca="1">IFERROR(__xludf.DUMMYFUNCTION("""COMPUTED_VALUE"""),"Youth")</f>
        <v>Youth</v>
      </c>
      <c r="K153" s="13">
        <f ca="1">IFERROR(__xludf.DUMMYFUNCTION("""COMPUTED_VALUE"""),42856)</f>
        <v>42856</v>
      </c>
      <c r="L153" s="12"/>
      <c r="M153" s="12"/>
      <c r="N153" s="12" t="str">
        <f ca="1">IFERROR(__xludf.DUMMYFUNCTION("""COMPUTED_VALUE"""),"Table1")</f>
        <v>Table1</v>
      </c>
    </row>
    <row r="154" spans="1:14" ht="15.75" customHeight="1" x14ac:dyDescent="0.35">
      <c r="A154" s="12" t="str">
        <f ca="1">IFERROR(__xludf.DUMMYFUNCTION("""COMPUTED_VALUE"""),"Dallimore, Arnold")</f>
        <v>Dallimore, Arnold</v>
      </c>
      <c r="B154" s="12" t="str">
        <f ca="1">IFERROR(__xludf.DUMMYFUNCTION("""COMPUTED_VALUE""")," Arnold Dallimore")</f>
        <v xml:space="preserve"> Arnold Dallimore</v>
      </c>
      <c r="C154" s="12" t="str">
        <f ca="1">IFERROR(__xludf.DUMMYFUNCTION("""COMPUTED_VALUE"""),"George Whitfield Volumes 1 &amp; 3")</f>
        <v>George Whitfield Volumes 1 &amp; 3</v>
      </c>
      <c r="D154" s="4"/>
      <c r="E154" s="12" t="str">
        <f ca="1">IFERROR(__xludf.DUMMYFUNCTION("""COMPUTED_VALUE"""),"Book")</f>
        <v>Book</v>
      </c>
      <c r="F154" s="12" t="str">
        <f ca="1">IFERROR(__xludf.DUMMYFUNCTION("""COMPUTED_VALUE"""),"Biography")</f>
        <v>Biography</v>
      </c>
      <c r="G154" s="12"/>
      <c r="H154" s="12"/>
      <c r="I154" s="12"/>
      <c r="J154" s="12"/>
      <c r="K154" s="13">
        <f ca="1">IFERROR(__xludf.DUMMYFUNCTION("""COMPUTED_VALUE"""),40034)</f>
        <v>40034</v>
      </c>
      <c r="L154" s="12"/>
      <c r="M154" s="12"/>
      <c r="N154" s="12" t="str">
        <f ca="1">IFERROR(__xludf.DUMMYFUNCTION("""COMPUTED_VALUE"""),"Table1")</f>
        <v>Table1</v>
      </c>
    </row>
    <row r="155" spans="1:14" ht="15.75" customHeight="1" x14ac:dyDescent="0.35">
      <c r="A155" s="12" t="str">
        <f ca="1">IFERROR(__xludf.DUMMYFUNCTION("""COMPUTED_VALUE"""),"Davies, Eryl")</f>
        <v>Davies, Eryl</v>
      </c>
      <c r="B155" s="12" t="str">
        <f ca="1">IFERROR(__xludf.DUMMYFUNCTION("""COMPUTED_VALUE""")," Eryl Davies")</f>
        <v xml:space="preserve"> Eryl Davies</v>
      </c>
      <c r="C155" s="12" t="str">
        <f ca="1">IFERROR(__xludf.DUMMYFUNCTION("""COMPUTED_VALUE"""),"Dr. D. Martyn Lloyd-Jones")</f>
        <v>Dr. D. Martyn Lloyd-Jones</v>
      </c>
      <c r="D155" s="4"/>
      <c r="E155" s="12" t="str">
        <f ca="1">IFERROR(__xludf.DUMMYFUNCTION("""COMPUTED_VALUE"""),"Book")</f>
        <v>Book</v>
      </c>
      <c r="F155" s="12" t="str">
        <f ca="1">IFERROR(__xludf.DUMMYFUNCTION("""COMPUTED_VALUE"""),"Biography")</f>
        <v>Biography</v>
      </c>
      <c r="G155" s="12"/>
      <c r="H155" s="12"/>
      <c r="I155" s="12"/>
      <c r="J155" s="12"/>
      <c r="K155" s="13">
        <f ca="1">IFERROR(__xludf.DUMMYFUNCTION("""COMPUTED_VALUE"""),41621)</f>
        <v>41621</v>
      </c>
      <c r="L155" s="12"/>
      <c r="M155" s="12"/>
      <c r="N155" s="12" t="str">
        <f ca="1">IFERROR(__xludf.DUMMYFUNCTION("""COMPUTED_VALUE"""),"Table1")</f>
        <v>Table1</v>
      </c>
    </row>
    <row r="156" spans="1:14" ht="15.75" customHeight="1" x14ac:dyDescent="0.35">
      <c r="A156" s="12" t="str">
        <f ca="1">IFERROR(__xludf.DUMMYFUNCTION("""COMPUTED_VALUE"""),"DeRouchie, Jason S.")</f>
        <v>DeRouchie, Jason S.</v>
      </c>
      <c r="B156" s="12" t="str">
        <f ca="1">IFERROR(__xludf.DUMMYFUNCTION("""COMPUTED_VALUE""")," Jason S. DeRouchie")</f>
        <v xml:space="preserve"> Jason S. DeRouchie</v>
      </c>
      <c r="C156" s="12" t="str">
        <f ca="1">IFERROR(__xludf.DUMMYFUNCTION("""COMPUTED_VALUE"""),"How to Understand and Apply the Old Testament")</f>
        <v>How to Understand and Apply the Old Testament</v>
      </c>
      <c r="D156" s="4"/>
      <c r="E156" s="12" t="str">
        <f ca="1">IFERROR(__xludf.DUMMYFUNCTION("""COMPUTED_VALUE"""),"Book")</f>
        <v>Book</v>
      </c>
      <c r="F156" s="12" t="str">
        <f ca="1">IFERROR(__xludf.DUMMYFUNCTION("""COMPUTED_VALUE"""),"Bible")</f>
        <v>Bible</v>
      </c>
      <c r="G156" s="12"/>
      <c r="H156" s="12"/>
      <c r="I156" s="12"/>
      <c r="J156" s="12"/>
      <c r="K156" s="13">
        <f ca="1">IFERROR(__xludf.DUMMYFUNCTION("""COMPUTED_VALUE"""),42856)</f>
        <v>42856</v>
      </c>
      <c r="L156" s="12"/>
      <c r="M156" s="12"/>
      <c r="N156" s="12" t="str">
        <f ca="1">IFERROR(__xludf.DUMMYFUNCTION("""COMPUTED_VALUE"""),"Table1")</f>
        <v>Table1</v>
      </c>
    </row>
    <row r="157" spans="1:14" ht="15.75" customHeight="1" x14ac:dyDescent="0.35">
      <c r="A157" s="12" t="str">
        <f ca="1">IFERROR(__xludf.DUMMYFUNCTION("""COMPUTED_VALUE"""),"Dever, Connie")</f>
        <v>Dever, Connie</v>
      </c>
      <c r="B157" s="12" t="str">
        <f ca="1">IFERROR(__xludf.DUMMYFUNCTION("""COMPUTED_VALUE""")," Connie Dever")</f>
        <v xml:space="preserve"> Connie Dever</v>
      </c>
      <c r="C157" s="12" t="str">
        <f ca="1">IFERROR(__xludf.DUMMYFUNCTION("""COMPUTED_VALUE"""),"He Will Hold Me Fast: A Journey With Grace Through Cancer")</f>
        <v>He Will Hold Me Fast: A Journey With Grace Through Cancer</v>
      </c>
      <c r="D157" s="4"/>
      <c r="E157" s="12" t="str">
        <f ca="1">IFERROR(__xludf.DUMMYFUNCTION("""COMPUTED_VALUE"""),"Book")</f>
        <v>Book</v>
      </c>
      <c r="F157" s="12" t="str">
        <f ca="1">IFERROR(__xludf.DUMMYFUNCTION("""COMPUTED_VALUE"""),"Understanding Mankind")</f>
        <v>Understanding Mankind</v>
      </c>
      <c r="G157" s="12"/>
      <c r="H157" s="12"/>
      <c r="I157" s="12"/>
      <c r="J157" s="12" t="str">
        <f ca="1">IFERROR(__xludf.DUMMYFUNCTION("""COMPUTED_VALUE"""),"Suffering, Sickness")</f>
        <v>Suffering, Sickness</v>
      </c>
      <c r="K157" s="13"/>
      <c r="L157" s="12"/>
      <c r="M157" s="12"/>
      <c r="N157" s="12" t="str">
        <f ca="1">IFERROR(__xludf.DUMMYFUNCTION("""COMPUTED_VALUE"""),"Table1")</f>
        <v>Table1</v>
      </c>
    </row>
    <row r="158" spans="1:14" ht="15.75" customHeight="1" x14ac:dyDescent="0.35">
      <c r="A158" s="12" t="str">
        <f ca="1">IFERROR(__xludf.DUMMYFUNCTION("""COMPUTED_VALUE"""),"Dever, Mark")</f>
        <v>Dever, Mark</v>
      </c>
      <c r="B158" s="12" t="str">
        <f ca="1">IFERROR(__xludf.DUMMYFUNCTION("""COMPUTED_VALUE""")," Mark Dever")</f>
        <v xml:space="preserve"> Mark Dever</v>
      </c>
      <c r="C158" s="12" t="str">
        <f ca="1">IFERROR(__xludf.DUMMYFUNCTION("""COMPUTED_VALUE"""),"The Compelling Community")</f>
        <v>The Compelling Community</v>
      </c>
      <c r="D158" s="4" t="str">
        <f ca="1">IFERROR(__xludf.DUMMYFUNCTION("""COMPUTED_VALUE"""),"Dunlop/ 9 Marks")</f>
        <v>Dunlop/ 9 Marks</v>
      </c>
      <c r="E158" s="12" t="str">
        <f ca="1">IFERROR(__xludf.DUMMYFUNCTION("""COMPUTED_VALUE"""),"Book")</f>
        <v>Book</v>
      </c>
      <c r="F158" s="12" t="str">
        <f ca="1">IFERROR(__xludf.DUMMYFUNCTION("""COMPUTED_VALUE"""),"Church")</f>
        <v>Church</v>
      </c>
      <c r="G158" s="12"/>
      <c r="H158" s="12"/>
      <c r="I158" s="12" t="str">
        <f ca="1">IFERROR(__xludf.DUMMYFUNCTION("""COMPUTED_VALUE"""),"9 Marks?")</f>
        <v>9 Marks?</v>
      </c>
      <c r="J158" s="12"/>
      <c r="K158" s="13">
        <f ca="1">IFERROR(__xludf.DUMMYFUNCTION("""COMPUTED_VALUE"""),42231)</f>
        <v>42231</v>
      </c>
      <c r="L158" s="12"/>
      <c r="M158" s="12"/>
      <c r="N158" s="12" t="str">
        <f ca="1">IFERROR(__xludf.DUMMYFUNCTION("""COMPUTED_VALUE"""),"Table1")</f>
        <v>Table1</v>
      </c>
    </row>
    <row r="159" spans="1:14" ht="15.75" customHeight="1" x14ac:dyDescent="0.35">
      <c r="A159" s="12" t="str">
        <f ca="1">IFERROR(__xludf.DUMMYFUNCTION("""COMPUTED_VALUE"""),"Dever, Mark")</f>
        <v>Dever, Mark</v>
      </c>
      <c r="B159" s="12" t="str">
        <f ca="1">IFERROR(__xludf.DUMMYFUNCTION("""COMPUTED_VALUE""")," Mark Dever")</f>
        <v xml:space="preserve"> Mark Dever</v>
      </c>
      <c r="C159" s="12" t="str">
        <f ca="1">IFERROR(__xludf.DUMMYFUNCTION("""COMPUTED_VALUE"""),"The Deliberate Church")</f>
        <v>The Deliberate Church</v>
      </c>
      <c r="D159" s="4" t="str">
        <f ca="1">IFERROR(__xludf.DUMMYFUNCTION("""COMPUTED_VALUE"""),"Alexander/ 9 Marks")</f>
        <v>Alexander/ 9 Marks</v>
      </c>
      <c r="E159" s="12" t="str">
        <f ca="1">IFERROR(__xludf.DUMMYFUNCTION("""COMPUTED_VALUE"""),"Book")</f>
        <v>Book</v>
      </c>
      <c r="F159" s="12" t="str">
        <f ca="1">IFERROR(__xludf.DUMMYFUNCTION("""COMPUTED_VALUE"""),"Church")</f>
        <v>Church</v>
      </c>
      <c r="G159" s="12"/>
      <c r="H159" s="12"/>
      <c r="I159" s="12" t="str">
        <f ca="1">IFERROR(__xludf.DUMMYFUNCTION("""COMPUTED_VALUE"""),"9 Marks?")</f>
        <v>9 Marks?</v>
      </c>
      <c r="J159" s="12"/>
      <c r="K159" s="13">
        <f ca="1">IFERROR(__xludf.DUMMYFUNCTION("""COMPUTED_VALUE"""),40034)</f>
        <v>40034</v>
      </c>
      <c r="L159" s="12"/>
      <c r="M159" s="12"/>
      <c r="N159" s="12" t="str">
        <f ca="1">IFERROR(__xludf.DUMMYFUNCTION("""COMPUTED_VALUE"""),"Table1")</f>
        <v>Table1</v>
      </c>
    </row>
    <row r="160" spans="1:14" ht="15.75" customHeight="1" x14ac:dyDescent="0.35">
      <c r="A160" s="12" t="str">
        <f ca="1">IFERROR(__xludf.DUMMYFUNCTION("""COMPUTED_VALUE"""),"Dever, Mark")</f>
        <v>Dever, Mark</v>
      </c>
      <c r="B160" s="12" t="str">
        <f ca="1">IFERROR(__xludf.DUMMYFUNCTION("""COMPUTED_VALUE""")," Mark Dever")</f>
        <v xml:space="preserve"> Mark Dever</v>
      </c>
      <c r="C160" s="12" t="str">
        <f ca="1">IFERROR(__xludf.DUMMYFUNCTION("""COMPUTED_VALUE"""),"Discipling")</f>
        <v>Discipling</v>
      </c>
      <c r="D160" s="4" t="str">
        <f ca="1">IFERROR(__xludf.DUMMYFUNCTION("""COMPUTED_VALUE"""),"9 Marks")</f>
        <v>9 Marks</v>
      </c>
      <c r="E160" s="12" t="str">
        <f ca="1">IFERROR(__xludf.DUMMYFUNCTION("""COMPUTED_VALUE"""),"Book")</f>
        <v>Book</v>
      </c>
      <c r="F160" s="12" t="str">
        <f ca="1">IFERROR(__xludf.DUMMYFUNCTION("""COMPUTED_VALUE"""),"Church")</f>
        <v>Church</v>
      </c>
      <c r="G160" s="12"/>
      <c r="H160" s="12" t="str">
        <f ca="1">IFERROR(__xludf.DUMMYFUNCTION("""COMPUTED_VALUE"""),"9 Marks")</f>
        <v>9 Marks</v>
      </c>
      <c r="I160" s="12"/>
      <c r="J160" s="12"/>
      <c r="K160" s="13">
        <f ca="1">IFERROR(__xludf.DUMMYFUNCTION("""COMPUTED_VALUE"""),40034)</f>
        <v>40034</v>
      </c>
      <c r="L160" s="12"/>
      <c r="M160" s="12"/>
      <c r="N160" s="12" t="str">
        <f ca="1">IFERROR(__xludf.DUMMYFUNCTION("""COMPUTED_VALUE"""),"Table1")</f>
        <v>Table1</v>
      </c>
    </row>
    <row r="161" spans="1:14" ht="15.75" customHeight="1" x14ac:dyDescent="0.35">
      <c r="A161" s="12" t="str">
        <f ca="1">IFERROR(__xludf.DUMMYFUNCTION("""COMPUTED_VALUE"""),"Dever, Mark")</f>
        <v>Dever, Mark</v>
      </c>
      <c r="B161" s="12" t="str">
        <f ca="1">IFERROR(__xludf.DUMMYFUNCTION("""COMPUTED_VALUE""")," Mark Dever")</f>
        <v xml:space="preserve"> Mark Dever</v>
      </c>
      <c r="C161" s="12" t="str">
        <f ca="1">IFERROR(__xludf.DUMMYFUNCTION("""COMPUTED_VALUE"""),"God and Politics")</f>
        <v>God and Politics</v>
      </c>
      <c r="D161" s="4"/>
      <c r="E161" s="12" t="str">
        <f ca="1">IFERROR(__xludf.DUMMYFUNCTION("""COMPUTED_VALUE"""),"Book")</f>
        <v>Book</v>
      </c>
      <c r="F161" s="12" t="str">
        <f ca="1">IFERROR(__xludf.DUMMYFUNCTION("""COMPUTED_VALUE"""),"Worldview")</f>
        <v>Worldview</v>
      </c>
      <c r="G161" s="12"/>
      <c r="H161" s="12"/>
      <c r="I161" s="12"/>
      <c r="J161" s="12" t="str">
        <f ca="1">IFERROR(__xludf.DUMMYFUNCTION("""COMPUTED_VALUE"""),"Politics")</f>
        <v>Politics</v>
      </c>
      <c r="K161" s="13">
        <f ca="1">IFERROR(__xludf.DUMMYFUNCTION("""COMPUTED_VALUE"""),42856)</f>
        <v>42856</v>
      </c>
      <c r="L161" s="12"/>
      <c r="M161" s="12"/>
      <c r="N161" s="12" t="str">
        <f ca="1">IFERROR(__xludf.DUMMYFUNCTION("""COMPUTED_VALUE"""),"Table1")</f>
        <v>Table1</v>
      </c>
    </row>
    <row r="162" spans="1:14" ht="15.75" customHeight="1" x14ac:dyDescent="0.35">
      <c r="A162" s="12" t="str">
        <f ca="1">IFERROR(__xludf.DUMMYFUNCTION("""COMPUTED_VALUE"""),"Dever, Mark")</f>
        <v>Dever, Mark</v>
      </c>
      <c r="B162" s="12" t="str">
        <f ca="1">IFERROR(__xludf.DUMMYFUNCTION("""COMPUTED_VALUE""")," Mark Dever")</f>
        <v xml:space="preserve"> Mark Dever</v>
      </c>
      <c r="C162" s="12" t="str">
        <f ca="1">IFERROR(__xludf.DUMMYFUNCTION("""COMPUTED_VALUE"""),"The Gospel and Personal Evangelism")</f>
        <v>The Gospel and Personal Evangelism</v>
      </c>
      <c r="D162" s="4"/>
      <c r="E162" s="12" t="str">
        <f ca="1">IFERROR(__xludf.DUMMYFUNCTION("""COMPUTED_VALUE"""),"Book")</f>
        <v>Book</v>
      </c>
      <c r="F162" s="12" t="str">
        <f ca="1">IFERROR(__xludf.DUMMYFUNCTION("""COMPUTED_VALUE"""),"Salvation")</f>
        <v>Salvation</v>
      </c>
      <c r="G162" s="12"/>
      <c r="H162" s="12"/>
      <c r="I162" s="12"/>
      <c r="J162" s="12" t="str">
        <f ca="1">IFERROR(__xludf.DUMMYFUNCTION("""COMPUTED_VALUE"""),"Evangelism")</f>
        <v>Evangelism</v>
      </c>
      <c r="K162" s="13">
        <f ca="1">IFERROR(__xludf.DUMMYFUNCTION("""COMPUTED_VALUE"""),40034)</f>
        <v>40034</v>
      </c>
      <c r="L162" s="12"/>
      <c r="M162" s="12"/>
      <c r="N162" s="12" t="str">
        <f ca="1">IFERROR(__xludf.DUMMYFUNCTION("""COMPUTED_VALUE"""),"Table1")</f>
        <v>Table1</v>
      </c>
    </row>
    <row r="163" spans="1:14" ht="15.75" customHeight="1" x14ac:dyDescent="0.35">
      <c r="A163" s="12" t="str">
        <f ca="1">IFERROR(__xludf.DUMMYFUNCTION("""COMPUTED_VALUE"""),"Dever, Mark")</f>
        <v>Dever, Mark</v>
      </c>
      <c r="B163" s="12" t="str">
        <f ca="1">IFERROR(__xludf.DUMMYFUNCTION("""COMPUTED_VALUE""")," Mark Dever")</f>
        <v xml:space="preserve"> Mark Dever</v>
      </c>
      <c r="C163" s="12" t="str">
        <f ca="1">IFERROR(__xludf.DUMMYFUNCTION("""COMPUTED_VALUE"""),"Nine Marks of a Healthy Church")</f>
        <v>Nine Marks of a Healthy Church</v>
      </c>
      <c r="D163" s="4" t="str">
        <f ca="1">IFERROR(__xludf.DUMMYFUNCTION("""COMPUTED_VALUE"""),"9 Marks")</f>
        <v>9 Marks</v>
      </c>
      <c r="E163" s="12" t="str">
        <f ca="1">IFERROR(__xludf.DUMMYFUNCTION("""COMPUTED_VALUE"""),"Book")</f>
        <v>Book</v>
      </c>
      <c r="F163" s="12" t="str">
        <f ca="1">IFERROR(__xludf.DUMMYFUNCTION("""COMPUTED_VALUE"""),"Church")</f>
        <v>Church</v>
      </c>
      <c r="G163" s="12"/>
      <c r="H163" s="12" t="str">
        <f ca="1">IFERROR(__xludf.DUMMYFUNCTION("""COMPUTED_VALUE"""),"9 Marks")</f>
        <v>9 Marks</v>
      </c>
      <c r="I163" s="12"/>
      <c r="J163" s="12"/>
      <c r="K163" s="13">
        <f ca="1">IFERROR(__xludf.DUMMYFUNCTION("""COMPUTED_VALUE"""),42561)</f>
        <v>42561</v>
      </c>
      <c r="L163" s="12"/>
      <c r="M163" s="12"/>
      <c r="N163" s="12" t="str">
        <f ca="1">IFERROR(__xludf.DUMMYFUNCTION("""COMPUTED_VALUE"""),"Table1")</f>
        <v>Table1</v>
      </c>
    </row>
    <row r="164" spans="1:14" ht="15.75" customHeight="1" x14ac:dyDescent="0.35">
      <c r="A164" s="12" t="str">
        <f ca="1">IFERROR(__xludf.DUMMYFUNCTION("""COMPUTED_VALUE"""),"Dever, Mark")</f>
        <v>Dever, Mark</v>
      </c>
      <c r="B164" s="12" t="str">
        <f ca="1">IFERROR(__xludf.DUMMYFUNCTION("""COMPUTED_VALUE""")," Mark Dever")</f>
        <v xml:space="preserve"> Mark Dever</v>
      </c>
      <c r="C164" s="12" t="str">
        <f ca="1">IFERROR(__xludf.DUMMYFUNCTION("""COMPUTED_VALUE"""),"Twelve Challenges Churches Face")</f>
        <v>Twelve Challenges Churches Face</v>
      </c>
      <c r="D164" s="4" t="str">
        <f ca="1">IFERROR(__xludf.DUMMYFUNCTION("""COMPUTED_VALUE"""),"9 Marks")</f>
        <v>9 Marks</v>
      </c>
      <c r="E164" s="12" t="str">
        <f ca="1">IFERROR(__xludf.DUMMYFUNCTION("""COMPUTED_VALUE"""),"Book")</f>
        <v>Book</v>
      </c>
      <c r="F164" s="12" t="str">
        <f ca="1">IFERROR(__xludf.DUMMYFUNCTION("""COMPUTED_VALUE"""),"Church")</f>
        <v>Church</v>
      </c>
      <c r="G164" s="12"/>
      <c r="H164" s="12" t="str">
        <f ca="1">IFERROR(__xludf.DUMMYFUNCTION("""COMPUTED_VALUE"""),"9 Marks")</f>
        <v>9 Marks</v>
      </c>
      <c r="I164" s="12"/>
      <c r="J164" s="12"/>
      <c r="K164" s="13">
        <f ca="1">IFERROR(__xludf.DUMMYFUNCTION("""COMPUTED_VALUE"""),42705)</f>
        <v>42705</v>
      </c>
      <c r="L164" s="12"/>
      <c r="M164" s="12"/>
      <c r="N164" s="12" t="str">
        <f ca="1">IFERROR(__xludf.DUMMYFUNCTION("""COMPUTED_VALUE"""),"Table1")</f>
        <v>Table1</v>
      </c>
    </row>
    <row r="165" spans="1:14" ht="15.75" customHeight="1" x14ac:dyDescent="0.35">
      <c r="A165" s="12" t="str">
        <f ca="1">IFERROR(__xludf.DUMMYFUNCTION("""COMPUTED_VALUE"""),"Dever, Mark")</f>
        <v>Dever, Mark</v>
      </c>
      <c r="B165" s="12" t="str">
        <f ca="1">IFERROR(__xludf.DUMMYFUNCTION("""COMPUTED_VALUE""")," Mark Dever")</f>
        <v xml:space="preserve"> Mark Dever</v>
      </c>
      <c r="C165" s="12" t="str">
        <f ca="1">IFERROR(__xludf.DUMMYFUNCTION("""COMPUTED_VALUE"""),"Understanding the Great Commission")</f>
        <v>Understanding the Great Commission</v>
      </c>
      <c r="D165" s="4" t="str">
        <f ca="1">IFERROR(__xludf.DUMMYFUNCTION("""COMPUTED_VALUE"""),"Church Basics")</f>
        <v>Church Basics</v>
      </c>
      <c r="E165" s="12" t="str">
        <f ca="1">IFERROR(__xludf.DUMMYFUNCTION("""COMPUTED_VALUE"""),"Book")</f>
        <v>Book</v>
      </c>
      <c r="F165" s="12" t="str">
        <f ca="1">IFERROR(__xludf.DUMMYFUNCTION("""COMPUTED_VALUE"""),"Church")</f>
        <v>Church</v>
      </c>
      <c r="G165" s="12"/>
      <c r="H165" s="12"/>
      <c r="I165" s="12"/>
      <c r="J165" s="12"/>
      <c r="K165" s="13">
        <f ca="1">IFERROR(__xludf.DUMMYFUNCTION("""COMPUTED_VALUE"""),43211)</f>
        <v>43211</v>
      </c>
      <c r="L165" s="12"/>
      <c r="M165" s="12"/>
      <c r="N165" s="12" t="str">
        <f ca="1">IFERROR(__xludf.DUMMYFUNCTION("""COMPUTED_VALUE"""),"Table1")</f>
        <v>Table1</v>
      </c>
    </row>
    <row r="166" spans="1:14" ht="15.75" customHeight="1" x14ac:dyDescent="0.35">
      <c r="A166" s="12" t="str">
        <f ca="1">IFERROR(__xludf.DUMMYFUNCTION("""COMPUTED_VALUE"""),"Dever, Mark")</f>
        <v>Dever, Mark</v>
      </c>
      <c r="B166" s="12" t="str">
        <f ca="1">IFERROR(__xludf.DUMMYFUNCTION("""COMPUTED_VALUE""")," Mark Dever")</f>
        <v xml:space="preserve"> Mark Dever</v>
      </c>
      <c r="C166" s="12" t="str">
        <f ca="1">IFERROR(__xludf.DUMMYFUNCTION("""COMPUTED_VALUE"""),"What Does God Want of Us Anyway?  A Quick Overview of the Whole Bible")</f>
        <v>What Does God Want of Us Anyway?  A Quick Overview of the Whole Bible</v>
      </c>
      <c r="D166" s="4" t="str">
        <f ca="1">IFERROR(__xludf.DUMMYFUNCTION("""COMPUTED_VALUE"""),"Charles Clayton")</f>
        <v>Charles Clayton</v>
      </c>
      <c r="E166" s="12" t="str">
        <f ca="1">IFERROR(__xludf.DUMMYFUNCTION("""COMPUTED_VALUE"""),"Book")</f>
        <v>Book</v>
      </c>
      <c r="F166" s="12" t="str">
        <f ca="1">IFERROR(__xludf.DUMMYFUNCTION("""COMPUTED_VALUE"""),"Bible")</f>
        <v>Bible</v>
      </c>
      <c r="G166" s="12"/>
      <c r="H166" s="12" t="str">
        <f ca="1">IFERROR(__xludf.DUMMYFUNCTION("""COMPUTED_VALUE"""),"9 Marks")</f>
        <v>9 Marks</v>
      </c>
      <c r="I166" s="12"/>
      <c r="J166" s="12"/>
      <c r="K166" s="13">
        <f ca="1">IFERROR(__xludf.DUMMYFUNCTION("""COMPUTED_VALUE"""),43704)</f>
        <v>43704</v>
      </c>
      <c r="L166" s="12"/>
      <c r="M166" s="12"/>
      <c r="N166" s="12" t="str">
        <f ca="1">IFERROR(__xludf.DUMMYFUNCTION("""COMPUTED_VALUE"""),"Table1")</f>
        <v>Table1</v>
      </c>
    </row>
    <row r="167" spans="1:14" ht="15.75" customHeight="1" x14ac:dyDescent="0.35">
      <c r="A167" s="12" t="str">
        <f ca="1">IFERROR(__xludf.DUMMYFUNCTION("""COMPUTED_VALUE"""),"Dever, Mark")</f>
        <v>Dever, Mark</v>
      </c>
      <c r="B167" s="12" t="str">
        <f ca="1">IFERROR(__xludf.DUMMYFUNCTION("""COMPUTED_VALUE""")," Mark Dever")</f>
        <v xml:space="preserve"> Mark Dever</v>
      </c>
      <c r="C167" s="12" t="str">
        <f ca="1">IFERROR(__xludf.DUMMYFUNCTION("""COMPUTED_VALUE"""),"What Is a Healthy Church?")</f>
        <v>What Is a Healthy Church?</v>
      </c>
      <c r="D167" s="4" t="str">
        <f ca="1">IFERROR(__xludf.DUMMYFUNCTION("""COMPUTED_VALUE"""),"9 Marks")</f>
        <v>9 Marks</v>
      </c>
      <c r="E167" s="12" t="str">
        <f ca="1">IFERROR(__xludf.DUMMYFUNCTION("""COMPUTED_VALUE"""),"Book")</f>
        <v>Book</v>
      </c>
      <c r="F167" s="12" t="str">
        <f ca="1">IFERROR(__xludf.DUMMYFUNCTION("""COMPUTED_VALUE"""),"Church")</f>
        <v>Church</v>
      </c>
      <c r="G167" s="12"/>
      <c r="H167" s="12" t="str">
        <f ca="1">IFERROR(__xludf.DUMMYFUNCTION("""COMPUTED_VALUE"""),"9 Marks")</f>
        <v>9 Marks</v>
      </c>
      <c r="I167" s="12"/>
      <c r="J167" s="12"/>
      <c r="K167" s="13">
        <f ca="1">IFERROR(__xludf.DUMMYFUNCTION("""COMPUTED_VALUE"""),40034)</f>
        <v>40034</v>
      </c>
      <c r="L167" s="12"/>
      <c r="M167" s="12"/>
      <c r="N167" s="12" t="str">
        <f ca="1">IFERROR(__xludf.DUMMYFUNCTION("""COMPUTED_VALUE"""),"Table1")</f>
        <v>Table1</v>
      </c>
    </row>
    <row r="168" spans="1:14" ht="15.75" customHeight="1" x14ac:dyDescent="0.35">
      <c r="A168" s="12" t="str">
        <f ca="1">IFERROR(__xludf.DUMMYFUNCTION("""COMPUTED_VALUE"""),"DeYoung, Kevin")</f>
        <v>DeYoung, Kevin</v>
      </c>
      <c r="B168" s="12" t="str">
        <f ca="1">IFERROR(__xludf.DUMMYFUNCTION("""COMPUTED_VALUE""")," Kevin DeYoung")</f>
        <v xml:space="preserve"> Kevin DeYoung</v>
      </c>
      <c r="C168" s="12" t="str">
        <f ca="1">IFERROR(__xludf.DUMMYFUNCTION("""COMPUTED_VALUE"""),"Crazy Busy")</f>
        <v>Crazy Busy</v>
      </c>
      <c r="D168" s="4"/>
      <c r="E168" s="12" t="str">
        <f ca="1">IFERROR(__xludf.DUMMYFUNCTION("""COMPUTED_VALUE"""),"Book")</f>
        <v>Book</v>
      </c>
      <c r="F168" s="12" t="str">
        <f ca="1">IFERROR(__xludf.DUMMYFUNCTION("""COMPUTED_VALUE"""),"Discipleship")</f>
        <v>Discipleship</v>
      </c>
      <c r="G168" s="12"/>
      <c r="H168" s="12"/>
      <c r="I168" s="12"/>
      <c r="J168" s="12" t="str">
        <f ca="1">IFERROR(__xludf.DUMMYFUNCTION("""COMPUTED_VALUE"""),"Time Management")</f>
        <v>Time Management</v>
      </c>
      <c r="K168" s="13">
        <f ca="1">IFERROR(__xludf.DUMMYFUNCTION("""COMPUTED_VALUE"""),41621)</f>
        <v>41621</v>
      </c>
      <c r="L168" s="12"/>
      <c r="M168" s="12"/>
      <c r="N168" s="12" t="str">
        <f ca="1">IFERROR(__xludf.DUMMYFUNCTION("""COMPUTED_VALUE"""),"Table1")</f>
        <v>Table1</v>
      </c>
    </row>
    <row r="169" spans="1:14" ht="15.75" customHeight="1" x14ac:dyDescent="0.35">
      <c r="A169" s="12" t="str">
        <f ca="1">IFERROR(__xludf.DUMMYFUNCTION("""COMPUTED_VALUE"""),"DeYoung, Kevin")</f>
        <v>DeYoung, Kevin</v>
      </c>
      <c r="B169" s="12" t="str">
        <f ca="1">IFERROR(__xludf.DUMMYFUNCTION("""COMPUTED_VALUE""")," Kevin DeYoung")</f>
        <v xml:space="preserve"> Kevin DeYoung</v>
      </c>
      <c r="C169" s="12" t="str">
        <f ca="1">IFERROR(__xludf.DUMMYFUNCTION("""COMPUTED_VALUE"""),"Just Do Something")</f>
        <v>Just Do Something</v>
      </c>
      <c r="D169" s="4"/>
      <c r="E169" s="12" t="str">
        <f ca="1">IFERROR(__xludf.DUMMYFUNCTION("""COMPUTED_VALUE"""),"Book")</f>
        <v>Book</v>
      </c>
      <c r="F169" s="12" t="str">
        <f ca="1">IFERROR(__xludf.DUMMYFUNCTION("""COMPUTED_VALUE"""),"Discipleship")</f>
        <v>Discipleship</v>
      </c>
      <c r="G169" s="12"/>
      <c r="H169" s="12"/>
      <c r="I169" s="12"/>
      <c r="J169" s="12" t="str">
        <f ca="1">IFERROR(__xludf.DUMMYFUNCTION("""COMPUTED_VALUE"""),"Youth")</f>
        <v>Youth</v>
      </c>
      <c r="K169" s="13"/>
      <c r="L169" s="12"/>
      <c r="M169" s="12"/>
      <c r="N169" s="12" t="str">
        <f ca="1">IFERROR(__xludf.DUMMYFUNCTION("""COMPUTED_VALUE"""),"Table1")</f>
        <v>Table1</v>
      </c>
    </row>
    <row r="170" spans="1:14" ht="15.75" customHeight="1" x14ac:dyDescent="0.35">
      <c r="A170" s="12" t="str">
        <f ca="1">IFERROR(__xludf.DUMMYFUNCTION("""COMPUTED_VALUE"""),"DeYoung, Kevin")</f>
        <v>DeYoung, Kevin</v>
      </c>
      <c r="B170" s="12" t="str">
        <f ca="1">IFERROR(__xludf.DUMMYFUNCTION("""COMPUTED_VALUE""")," Kevin DeYoung")</f>
        <v xml:space="preserve"> Kevin DeYoung</v>
      </c>
      <c r="C170" s="12" t="str">
        <f ca="1">IFERROR(__xludf.DUMMYFUNCTION("""COMPUTED_VALUE"""),"Men and Women of the Church: A Short, Biblical, Practical Introduction")</f>
        <v>Men and Women of the Church: A Short, Biblical, Practical Introduction</v>
      </c>
      <c r="D170" s="4"/>
      <c r="E170" s="12" t="str">
        <f ca="1">IFERROR(__xludf.DUMMYFUNCTION("""COMPUTED_VALUE"""),"Book")</f>
        <v>Book</v>
      </c>
      <c r="F170" s="12" t="str">
        <f ca="1">IFERROR(__xludf.DUMMYFUNCTION("""COMPUTED_VALUE"""),"Theology")</f>
        <v>Theology</v>
      </c>
      <c r="G170" s="12"/>
      <c r="H170" s="12"/>
      <c r="I170" s="12"/>
      <c r="J170" s="12" t="str">
        <f ca="1">IFERROR(__xludf.DUMMYFUNCTION("""COMPUTED_VALUE"""),"Gender Roles")</f>
        <v>Gender Roles</v>
      </c>
      <c r="K170" s="13">
        <f ca="1">IFERROR(__xludf.DUMMYFUNCTION("""COMPUTED_VALUE"""),44423)</f>
        <v>44423</v>
      </c>
      <c r="L170" s="12"/>
      <c r="M170" s="12"/>
      <c r="N170" s="12" t="str">
        <f ca="1">IFERROR(__xludf.DUMMYFUNCTION("""COMPUTED_VALUE"""),"Table1")</f>
        <v>Table1</v>
      </c>
    </row>
    <row r="171" spans="1:14" ht="15.75" customHeight="1" x14ac:dyDescent="0.35">
      <c r="A171" s="12" t="str">
        <f ca="1">IFERROR(__xludf.DUMMYFUNCTION("""COMPUTED_VALUE"""),"DeYoung, Kevin")</f>
        <v>DeYoung, Kevin</v>
      </c>
      <c r="B171" s="12" t="str">
        <f ca="1">IFERROR(__xludf.DUMMYFUNCTION("""COMPUTED_VALUE""")," Kevin DeYoung")</f>
        <v xml:space="preserve"> Kevin DeYoung</v>
      </c>
      <c r="C171" s="12" t="str">
        <f ca="1">IFERROR(__xludf.DUMMYFUNCTION("""COMPUTED_VALUE"""),"What Does the Bible Really Teach About Homosexuality?")</f>
        <v>What Does the Bible Really Teach About Homosexuality?</v>
      </c>
      <c r="D171" s="4"/>
      <c r="E171" s="12" t="str">
        <f ca="1">IFERROR(__xludf.DUMMYFUNCTION("""COMPUTED_VALUE"""),"Book")</f>
        <v>Book</v>
      </c>
      <c r="F171" s="12" t="str">
        <f ca="1">IFERROR(__xludf.DUMMYFUNCTION("""COMPUTED_VALUE"""),"Understanding Mankind")</f>
        <v>Understanding Mankind</v>
      </c>
      <c r="G171" s="12"/>
      <c r="H171" s="12"/>
      <c r="I171" s="12"/>
      <c r="J171" s="12" t="str">
        <f ca="1">IFERROR(__xludf.DUMMYFUNCTION("""COMPUTED_VALUE"""),"Homosexuality")</f>
        <v>Homosexuality</v>
      </c>
      <c r="K171" s="13">
        <f ca="1">IFERROR(__xludf.DUMMYFUNCTION("""COMPUTED_VALUE"""),42200)</f>
        <v>42200</v>
      </c>
      <c r="L171" s="12"/>
      <c r="M171" s="12"/>
      <c r="N171" s="12" t="str">
        <f ca="1">IFERROR(__xludf.DUMMYFUNCTION("""COMPUTED_VALUE"""),"Table1")</f>
        <v>Table1</v>
      </c>
    </row>
    <row r="172" spans="1:14" ht="15.75" customHeight="1" x14ac:dyDescent="0.35">
      <c r="A172" s="12" t="str">
        <f ca="1">IFERROR(__xludf.DUMMYFUNCTION("""COMPUTED_VALUE"""),"DeYoung, Kevin; Kluck, Ted")</f>
        <v>DeYoung, Kevin; Kluck, Ted</v>
      </c>
      <c r="B172" s="12" t="str">
        <f ca="1">IFERROR(__xludf.DUMMYFUNCTION("""COMPUTED_VALUE""")," Kevin DeYoung; Ted Kluck")</f>
        <v xml:space="preserve"> Kevin DeYoung; Ted Kluck</v>
      </c>
      <c r="C172" s="12" t="str">
        <f ca="1">IFERROR(__xludf.DUMMYFUNCTION("""COMPUTED_VALUE"""),"Why We Love the Church")</f>
        <v>Why We Love the Church</v>
      </c>
      <c r="D172" s="4" t="str">
        <f ca="1">IFERROR(__xludf.DUMMYFUNCTION("""COMPUTED_VALUE"""),"Kluck")</f>
        <v>Kluck</v>
      </c>
      <c r="E172" s="12" t="str">
        <f ca="1">IFERROR(__xludf.DUMMYFUNCTION("""COMPUTED_VALUE"""),"Book")</f>
        <v>Book</v>
      </c>
      <c r="F172" s="12" t="str">
        <f ca="1">IFERROR(__xludf.DUMMYFUNCTION("""COMPUTED_VALUE"""),"Church")</f>
        <v>Church</v>
      </c>
      <c r="G172" s="12"/>
      <c r="H172" s="12"/>
      <c r="I172" s="12"/>
      <c r="J172" s="12"/>
      <c r="K172" s="13">
        <f ca="1">IFERROR(__xludf.DUMMYFUNCTION("""COMPUTED_VALUE"""),40431)</f>
        <v>40431</v>
      </c>
      <c r="L172" s="12"/>
      <c r="M172" s="12"/>
      <c r="N172" s="12" t="str">
        <f ca="1">IFERROR(__xludf.DUMMYFUNCTION("""COMPUTED_VALUE"""),"Table1")</f>
        <v>Table1</v>
      </c>
    </row>
    <row r="173" spans="1:14" ht="15.75" customHeight="1" x14ac:dyDescent="0.35">
      <c r="A173" s="12" t="str">
        <f ca="1">IFERROR(__xludf.DUMMYFUNCTION("""COMPUTED_VALUE"""),"Dick, Lois Hoadley")</f>
        <v>Dick, Lois Hoadley</v>
      </c>
      <c r="B173" s="12" t="str">
        <f ca="1">IFERROR(__xludf.DUMMYFUNCTION("""COMPUTED_VALUE""")," Lois Hoadley Dick")</f>
        <v xml:space="preserve"> Lois Hoadley Dick</v>
      </c>
      <c r="C173" s="12" t="str">
        <f ca="1">IFERROR(__xludf.DUMMYFUNCTION("""COMPUTED_VALUE"""),"Isobel Kuhn")</f>
        <v>Isobel Kuhn</v>
      </c>
      <c r="D173" s="4"/>
      <c r="E173" s="12" t="str">
        <f ca="1">IFERROR(__xludf.DUMMYFUNCTION("""COMPUTED_VALUE"""),"Book")</f>
        <v>Book</v>
      </c>
      <c r="F173" s="12" t="str">
        <f ca="1">IFERROR(__xludf.DUMMYFUNCTION("""COMPUTED_VALUE"""),"Biography")</f>
        <v>Biography</v>
      </c>
      <c r="G173" s="12"/>
      <c r="H173" s="12"/>
      <c r="I173" s="12"/>
      <c r="J173" s="12"/>
      <c r="K173" s="13">
        <f ca="1">IFERROR(__xludf.DUMMYFUNCTION("""COMPUTED_VALUE"""),40034)</f>
        <v>40034</v>
      </c>
      <c r="L173" s="12"/>
      <c r="M173" s="12"/>
      <c r="N173" s="12" t="str">
        <f ca="1">IFERROR(__xludf.DUMMYFUNCTION("""COMPUTED_VALUE"""),"Table1")</f>
        <v>Table1</v>
      </c>
    </row>
    <row r="174" spans="1:14" ht="15.75" customHeight="1" x14ac:dyDescent="0.35">
      <c r="A174" s="12" t="str">
        <f ca="1">IFERROR(__xludf.DUMMYFUNCTION("""COMPUTED_VALUE"""),"Diprose, Ronald E.")</f>
        <v>Diprose, Ronald E.</v>
      </c>
      <c r="B174" s="12" t="str">
        <f ca="1">IFERROR(__xludf.DUMMYFUNCTION("""COMPUTED_VALUE""")," Ronald E. Diprose")</f>
        <v xml:space="preserve"> Ronald E. Diprose</v>
      </c>
      <c r="C174" s="12" t="str">
        <f ca="1">IFERROR(__xludf.DUMMYFUNCTION("""COMPUTED_VALUE"""),"Israel and the Church")</f>
        <v>Israel and the Church</v>
      </c>
      <c r="D174" s="4"/>
      <c r="E174" s="12" t="str">
        <f ca="1">IFERROR(__xludf.DUMMYFUNCTION("""COMPUTED_VALUE"""),"Book")</f>
        <v>Book</v>
      </c>
      <c r="F174" s="12" t="str">
        <f ca="1">IFERROR(__xludf.DUMMYFUNCTION("""COMPUTED_VALUE"""),"Theology")</f>
        <v>Theology</v>
      </c>
      <c r="G174" s="12"/>
      <c r="H174" s="12"/>
      <c r="I174" s="12"/>
      <c r="J174" s="12" t="str">
        <f ca="1">IFERROR(__xludf.DUMMYFUNCTION("""COMPUTED_VALUE"""),"Israel")</f>
        <v>Israel</v>
      </c>
      <c r="K174" s="13">
        <f ca="1">IFERROR(__xludf.DUMMYFUNCTION("""COMPUTED_VALUE"""),40034)</f>
        <v>40034</v>
      </c>
      <c r="L174" s="12"/>
      <c r="M174" s="12"/>
      <c r="N174" s="12" t="str">
        <f ca="1">IFERROR(__xludf.DUMMYFUNCTION("""COMPUTED_VALUE"""),"Table1")</f>
        <v>Table1</v>
      </c>
    </row>
    <row r="175" spans="1:14" ht="15.75" customHeight="1" x14ac:dyDescent="0.35">
      <c r="A175" s="12" t="str">
        <f ca="1">IFERROR(__xludf.DUMMYFUNCTION("""COMPUTED_VALUE"""),"Doriani, Daniel M.")</f>
        <v>Doriani, Daniel M.</v>
      </c>
      <c r="B175" s="12" t="str">
        <f ca="1">IFERROR(__xludf.DUMMYFUNCTION("""COMPUTED_VALUE""")," Daniel M. Doriani")</f>
        <v xml:space="preserve"> Daniel M. Doriani</v>
      </c>
      <c r="C175" s="12" t="str">
        <f ca="1">IFERROR(__xludf.DUMMYFUNCTION("""COMPUTED_VALUE"""),"Getting the Message: A Plan for Interpreting and Applying the Bible")</f>
        <v>Getting the Message: A Plan for Interpreting and Applying the Bible</v>
      </c>
      <c r="D175" s="4"/>
      <c r="E175" s="12" t="str">
        <f ca="1">IFERROR(__xludf.DUMMYFUNCTION("""COMPUTED_VALUE"""),"Book")</f>
        <v>Book</v>
      </c>
      <c r="F175" s="12" t="str">
        <f ca="1">IFERROR(__xludf.DUMMYFUNCTION("""COMPUTED_VALUE"""),"Bible")</f>
        <v>Bible</v>
      </c>
      <c r="G175" s="12"/>
      <c r="H175" s="12"/>
      <c r="I175" s="12"/>
      <c r="J175" s="12"/>
      <c r="K175" s="13">
        <f ca="1">IFERROR(__xludf.DUMMYFUNCTION("""COMPUTED_VALUE"""),43832)</f>
        <v>43832</v>
      </c>
      <c r="L175" s="12"/>
      <c r="M175" s="12"/>
      <c r="N175" s="12" t="str">
        <f ca="1">IFERROR(__xludf.DUMMYFUNCTION("""COMPUTED_VALUE"""),"Table1")</f>
        <v>Table1</v>
      </c>
    </row>
    <row r="176" spans="1:14" ht="15.75" customHeight="1" x14ac:dyDescent="0.35">
      <c r="A176" s="12" t="str">
        <f ca="1">IFERROR(__xludf.DUMMYFUNCTION("""COMPUTED_VALUE"""),"Doriani, Daniel M.")</f>
        <v>Doriani, Daniel M.</v>
      </c>
      <c r="B176" s="12" t="str">
        <f ca="1">IFERROR(__xludf.DUMMYFUNCTION("""COMPUTED_VALUE""")," Daniel M. Doriani")</f>
        <v xml:space="preserve"> Daniel M. Doriani</v>
      </c>
      <c r="C176" s="12" t="str">
        <f ca="1">IFERROR(__xludf.DUMMYFUNCTION("""COMPUTED_VALUE"""),"Work That Makes a Difference")</f>
        <v>Work That Makes a Difference</v>
      </c>
      <c r="D176" s="4"/>
      <c r="E176" s="12" t="str">
        <f ca="1">IFERROR(__xludf.DUMMYFUNCTION("""COMPUTED_VALUE"""),"Book")</f>
        <v>Book</v>
      </c>
      <c r="F176" s="12" t="str">
        <f ca="1">IFERROR(__xludf.DUMMYFUNCTION("""COMPUTED_VALUE"""),"Discipleship")</f>
        <v>Discipleship</v>
      </c>
      <c r="G176" s="12"/>
      <c r="H176" s="12"/>
      <c r="I176" s="12"/>
      <c r="J176" s="12" t="str">
        <f ca="1">IFERROR(__xludf.DUMMYFUNCTION("""COMPUTED_VALUE"""),"Vocation, Work")</f>
        <v>Vocation, Work</v>
      </c>
      <c r="K176" s="13">
        <f ca="1">IFERROR(__xludf.DUMMYFUNCTION("""COMPUTED_VALUE"""),44534)</f>
        <v>44534</v>
      </c>
      <c r="L176" s="12"/>
      <c r="M176" s="12"/>
      <c r="N176" s="12" t="str">
        <f ca="1">IFERROR(__xludf.DUMMYFUNCTION("""COMPUTED_VALUE"""),"Table1")</f>
        <v>Table1</v>
      </c>
    </row>
    <row r="177" spans="1:14" ht="15.75" customHeight="1" x14ac:dyDescent="0.35">
      <c r="A177" s="12" t="str">
        <f ca="1">IFERROR(__xludf.DUMMYFUNCTION("""COMPUTED_VALUE"""),"Doriani, Daniel M.")</f>
        <v>Doriani, Daniel M.</v>
      </c>
      <c r="B177" s="12" t="str">
        <f ca="1">IFERROR(__xludf.DUMMYFUNCTION("""COMPUTED_VALUE""")," Daniel M. Doriani")</f>
        <v xml:space="preserve"> Daniel M. Doriani</v>
      </c>
      <c r="C177" s="12" t="str">
        <f ca="1">IFERROR(__xludf.DUMMYFUNCTION("""COMPUTED_VALUE"""),"Work: Its Purpose, Dignity, and Transformation")</f>
        <v>Work: Its Purpose, Dignity, and Transformation</v>
      </c>
      <c r="D177" s="4"/>
      <c r="E177" s="12" t="str">
        <f ca="1">IFERROR(__xludf.DUMMYFUNCTION("""COMPUTED_VALUE"""),"Book")</f>
        <v>Book</v>
      </c>
      <c r="F177" s="12" t="str">
        <f ca="1">IFERROR(__xludf.DUMMYFUNCTION("""COMPUTED_VALUE"""),"Discipleship")</f>
        <v>Discipleship</v>
      </c>
      <c r="G177" s="12"/>
      <c r="H177" s="12"/>
      <c r="I177" s="12"/>
      <c r="J177" s="12" t="str">
        <f ca="1">IFERROR(__xludf.DUMMYFUNCTION("""COMPUTED_VALUE"""),"Vocation, Work")</f>
        <v>Vocation, Work</v>
      </c>
      <c r="K177" s="13">
        <f ca="1">IFERROR(__xludf.DUMMYFUNCTION("""COMPUTED_VALUE"""),44534)</f>
        <v>44534</v>
      </c>
      <c r="L177" s="12"/>
      <c r="M177" s="12"/>
      <c r="N177" s="12" t="str">
        <f ca="1">IFERROR(__xludf.DUMMYFUNCTION("""COMPUTED_VALUE"""),"Table1")</f>
        <v>Table1</v>
      </c>
    </row>
    <row r="178" spans="1:14" ht="15.75" customHeight="1" x14ac:dyDescent="0.35">
      <c r="A178" s="12" t="str">
        <f ca="1">IFERROR(__xludf.DUMMYFUNCTION("""COMPUTED_VALUE"""),"Drew, Charles D")</f>
        <v>Drew, Charles D</v>
      </c>
      <c r="B178" s="12" t="str">
        <f ca="1">IFERROR(__xludf.DUMMYFUNCTION("""COMPUTED_VALUE""")," Charles D Drew")</f>
        <v xml:space="preserve"> Charles D Drew</v>
      </c>
      <c r="C178" s="12" t="str">
        <f ca="1">IFERROR(__xludf.DUMMYFUNCTION("""COMPUTED_VALUE"""),"A Journey Worth Taking:  Finding Your Purpose in This World")</f>
        <v>A Journey Worth Taking:  Finding Your Purpose in This World</v>
      </c>
      <c r="D178" s="4"/>
      <c r="E178" s="12" t="str">
        <f ca="1">IFERROR(__xludf.DUMMYFUNCTION("""COMPUTED_VALUE"""),"Book")</f>
        <v>Book</v>
      </c>
      <c r="F178" s="12" t="str">
        <f ca="1">IFERROR(__xludf.DUMMYFUNCTION("""COMPUTED_VALUE"""),"Discipleship")</f>
        <v>Discipleship</v>
      </c>
      <c r="G178" s="12"/>
      <c r="H178" s="12"/>
      <c r="I178" s="12"/>
      <c r="J178" s="12"/>
      <c r="K178" s="13">
        <f ca="1">IFERROR(__xludf.DUMMYFUNCTION("""COMPUTED_VALUE"""),40247)</f>
        <v>40247</v>
      </c>
      <c r="L178" s="12"/>
      <c r="M178" s="12"/>
      <c r="N178" s="12" t="str">
        <f ca="1">IFERROR(__xludf.DUMMYFUNCTION("""COMPUTED_VALUE"""),"Table1")</f>
        <v>Table1</v>
      </c>
    </row>
    <row r="179" spans="1:14" ht="15.75" customHeight="1" x14ac:dyDescent="0.35">
      <c r="A179" s="12" t="str">
        <f ca="1">IFERROR(__xludf.DUMMYFUNCTION("""COMPUTED_VALUE"""),"Duguid, Barbara R")</f>
        <v>Duguid, Barbara R</v>
      </c>
      <c r="B179" s="12" t="str">
        <f ca="1">IFERROR(__xludf.DUMMYFUNCTION("""COMPUTED_VALUE""")," Barbara R Duguid")</f>
        <v xml:space="preserve"> Barbara R Duguid</v>
      </c>
      <c r="C179" s="12" t="str">
        <f ca="1">IFERROR(__xludf.DUMMYFUNCTION("""COMPUTED_VALUE"""),"Extravagant Grace")</f>
        <v>Extravagant Grace</v>
      </c>
      <c r="D179" s="4"/>
      <c r="E179" s="12" t="str">
        <f ca="1">IFERROR(__xludf.DUMMYFUNCTION("""COMPUTED_VALUE"""),"Book")</f>
        <v>Book</v>
      </c>
      <c r="F179" s="12" t="str">
        <f ca="1">IFERROR(__xludf.DUMMYFUNCTION("""COMPUTED_VALUE"""),"Discipleship")</f>
        <v>Discipleship</v>
      </c>
      <c r="G179" s="12"/>
      <c r="H179" s="12"/>
      <c r="I179" s="12"/>
      <c r="J179" s="12"/>
      <c r="K179" s="13">
        <f ca="1">IFERROR(__xludf.DUMMYFUNCTION("""COMPUTED_VALUE"""),41804)</f>
        <v>41804</v>
      </c>
      <c r="L179" s="12"/>
      <c r="M179" s="12"/>
      <c r="N179" s="12" t="str">
        <f ca="1">IFERROR(__xludf.DUMMYFUNCTION("""COMPUTED_VALUE"""),"Table1")</f>
        <v>Table1</v>
      </c>
    </row>
    <row r="180" spans="1:14" ht="15.75" customHeight="1" x14ac:dyDescent="0.35">
      <c r="A180" s="12" t="str">
        <f ca="1">IFERROR(__xludf.DUMMYFUNCTION("""COMPUTED_VALUE"""),"Duguid, Barbara R")</f>
        <v>Duguid, Barbara R</v>
      </c>
      <c r="B180" s="12" t="str">
        <f ca="1">IFERROR(__xludf.DUMMYFUNCTION("""COMPUTED_VALUE""")," Barbara R Duguid")</f>
        <v xml:space="preserve"> Barbara R Duguid</v>
      </c>
      <c r="C180" s="12" t="str">
        <f ca="1">IFERROR(__xludf.DUMMYFUNCTION("""COMPUTED_VALUE"""),"Prone to Wander: Prayers of Confession &amp; Celebration")</f>
        <v>Prone to Wander: Prayers of Confession &amp; Celebration</v>
      </c>
      <c r="D180" s="4"/>
      <c r="E180" s="12" t="str">
        <f ca="1">IFERROR(__xludf.DUMMYFUNCTION("""COMPUTED_VALUE"""),"Book")</f>
        <v>Book</v>
      </c>
      <c r="F180" s="12" t="str">
        <f ca="1">IFERROR(__xludf.DUMMYFUNCTION("""COMPUTED_VALUE"""),"Understanding Mankind")</f>
        <v>Understanding Mankind</v>
      </c>
      <c r="G180" s="12" t="str">
        <f ca="1">IFERROR(__xludf.DUMMYFUNCTION("""COMPUTED_VALUE"""),"Discipleship?")</f>
        <v>Discipleship?</v>
      </c>
      <c r="H180" s="12"/>
      <c r="I180" s="12"/>
      <c r="J180" s="12" t="str">
        <f ca="1">IFERROR(__xludf.DUMMYFUNCTION("""COMPUTED_VALUE"""),"Prayer, Sin")</f>
        <v>Prayer, Sin</v>
      </c>
      <c r="K180" s="13">
        <f ca="1">IFERROR(__xludf.DUMMYFUNCTION("""COMPUTED_VALUE"""),43211)</f>
        <v>43211</v>
      </c>
      <c r="L180" s="12"/>
      <c r="M180" s="12"/>
      <c r="N180" s="12" t="str">
        <f ca="1">IFERROR(__xludf.DUMMYFUNCTION("""COMPUTED_VALUE"""),"Table1")</f>
        <v>Table1</v>
      </c>
    </row>
    <row r="181" spans="1:14" ht="15.75" customHeight="1" x14ac:dyDescent="0.35">
      <c r="A181" s="12" t="str">
        <f ca="1">IFERROR(__xludf.DUMMYFUNCTION("""COMPUTED_VALUE"""),"Duguid, Barbara R.")</f>
        <v>Duguid, Barbara R.</v>
      </c>
      <c r="B181" s="12" t="str">
        <f ca="1">IFERROR(__xludf.DUMMYFUNCTION("""COMPUTED_VALUE""")," Barbara R. Duguid")</f>
        <v xml:space="preserve"> Barbara R. Duguid</v>
      </c>
      <c r="C181" s="12" t="str">
        <f ca="1">IFERROR(__xludf.DUMMYFUNCTION("""COMPUTED_VALUE"""),"Streams of Mercy: Prayers of Confession and Celebration")</f>
        <v>Streams of Mercy: Prayers of Confession and Celebration</v>
      </c>
      <c r="D181" s="4"/>
      <c r="E181" s="12" t="str">
        <f ca="1">IFERROR(__xludf.DUMMYFUNCTION("""COMPUTED_VALUE"""),"Book")</f>
        <v>Book</v>
      </c>
      <c r="F181" s="12" t="str">
        <f ca="1">IFERROR(__xludf.DUMMYFUNCTION("""COMPUTED_VALUE"""),"Discipleship")</f>
        <v>Discipleship</v>
      </c>
      <c r="G181" s="12"/>
      <c r="H181" s="12"/>
      <c r="I181" s="12"/>
      <c r="J181" s="12" t="str">
        <f ca="1">IFERROR(__xludf.DUMMYFUNCTION("""COMPUTED_VALUE"""),"Prayer")</f>
        <v>Prayer</v>
      </c>
      <c r="K181" s="13"/>
      <c r="L181" s="12"/>
      <c r="M181" s="12"/>
      <c r="N181" s="12" t="str">
        <f ca="1">IFERROR(__xludf.DUMMYFUNCTION("""COMPUTED_VALUE"""),"Table1")</f>
        <v>Table1</v>
      </c>
    </row>
    <row r="182" spans="1:14" ht="15.75" customHeight="1" x14ac:dyDescent="0.35">
      <c r="A182" s="12" t="str">
        <f ca="1">IFERROR(__xludf.DUMMYFUNCTION("""COMPUTED_VALUE"""),"Duncan, J. Ligon; Hunt, Susan")</f>
        <v>Duncan, J. Ligon; Hunt, Susan</v>
      </c>
      <c r="B182" s="12" t="str">
        <f ca="1">IFERROR(__xludf.DUMMYFUNCTION("""COMPUTED_VALUE""")," J. Ligon Duncan; Susan Hunt")</f>
        <v xml:space="preserve"> J. Ligon Duncan; Susan Hunt</v>
      </c>
      <c r="C182" s="12" t="str">
        <f ca="1">IFERROR(__xludf.DUMMYFUNCTION("""COMPUTED_VALUE"""),"Women's Ministry in the Local Church")</f>
        <v>Women's Ministry in the Local Church</v>
      </c>
      <c r="D182" s="4" t="str">
        <f ca="1">IFERROR(__xludf.DUMMYFUNCTION("""COMPUTED_VALUE"""),"Hunt")</f>
        <v>Hunt</v>
      </c>
      <c r="E182" s="12" t="str">
        <f ca="1">IFERROR(__xludf.DUMMYFUNCTION("""COMPUTED_VALUE"""),"Book")</f>
        <v>Book</v>
      </c>
      <c r="F182" s="12" t="str">
        <f ca="1">IFERROR(__xludf.DUMMYFUNCTION("""COMPUTED_VALUE"""),"Church")</f>
        <v>Church</v>
      </c>
      <c r="G182" s="12"/>
      <c r="H182" s="12"/>
      <c r="I182" s="12"/>
      <c r="J182" s="12" t="str">
        <f ca="1">IFERROR(__xludf.DUMMYFUNCTION("""COMPUTED_VALUE"""),"Christian Women")</f>
        <v>Christian Women</v>
      </c>
      <c r="K182" s="13">
        <f ca="1">IFERROR(__xludf.DUMMYFUNCTION("""COMPUTED_VALUE"""),40247)</f>
        <v>40247</v>
      </c>
      <c r="L182" s="12"/>
      <c r="M182" s="12"/>
      <c r="N182" s="12" t="str">
        <f ca="1">IFERROR(__xludf.DUMMYFUNCTION("""COMPUTED_VALUE"""),"Table1")</f>
        <v>Table1</v>
      </c>
    </row>
    <row r="183" spans="1:14" ht="15.75" customHeight="1" x14ac:dyDescent="0.35">
      <c r="A183" s="12" t="str">
        <f ca="1">IFERROR(__xludf.DUMMYFUNCTION("""COMPUTED_VALUE"""),"Dunham, David R.")</f>
        <v>Dunham, David R.</v>
      </c>
      <c r="B183" s="12" t="str">
        <f ca="1">IFERROR(__xludf.DUMMYFUNCTION("""COMPUTED_VALUE""")," David R. Dunham")</f>
        <v xml:space="preserve"> David R. Dunham</v>
      </c>
      <c r="C183" s="12" t="str">
        <f ca="1">IFERROR(__xludf.DUMMYFUNCTION("""COMPUTED_VALUE"""),"Addictive Habits: Changing for Good")</f>
        <v>Addictive Habits: Changing for Good</v>
      </c>
      <c r="D183" s="4"/>
      <c r="E183" s="12" t="str">
        <f ca="1">IFERROR(__xludf.DUMMYFUNCTION("""COMPUTED_VALUE"""),"Book")</f>
        <v>Book</v>
      </c>
      <c r="F183" s="12" t="str">
        <f ca="1">IFERROR(__xludf.DUMMYFUNCTION("""COMPUTED_VALUE"""),"Understanding Mankind")</f>
        <v>Understanding Mankind</v>
      </c>
      <c r="G183" s="12"/>
      <c r="H183" s="12" t="str">
        <f ca="1">IFERROR(__xludf.DUMMYFUNCTION("""COMPUTED_VALUE"""),"Devotionals")</f>
        <v>Devotionals</v>
      </c>
      <c r="I183" s="12"/>
      <c r="J183" s="12" t="str">
        <f ca="1">IFERROR(__xludf.DUMMYFUNCTION("""COMPUTED_VALUE"""),"Sin")</f>
        <v>Sin</v>
      </c>
      <c r="K183" s="13"/>
      <c r="L183" s="12"/>
      <c r="M183" s="12"/>
      <c r="N183" s="12" t="str">
        <f ca="1">IFERROR(__xludf.DUMMYFUNCTION("""COMPUTED_VALUE"""),"Table1")</f>
        <v>Table1</v>
      </c>
    </row>
    <row r="184" spans="1:14" ht="15.75" customHeight="1" x14ac:dyDescent="0.35">
      <c r="A184" s="12" t="str">
        <f ca="1">IFERROR(__xludf.DUMMYFUNCTION("""COMPUTED_VALUE"""),"Dunlop, Ed")</f>
        <v>Dunlop, Ed</v>
      </c>
      <c r="B184" s="12" t="str">
        <f ca="1">IFERROR(__xludf.DUMMYFUNCTION("""COMPUTED_VALUE""")," Ed Dunlop")</f>
        <v xml:space="preserve"> Ed Dunlop</v>
      </c>
      <c r="C184" s="12" t="str">
        <f ca="1">IFERROR(__xludf.DUMMYFUNCTION("""COMPUTED_VALUE"""),"Escape to Liechtenstein")</f>
        <v>Escape to Liechtenstein</v>
      </c>
      <c r="D184" s="4"/>
      <c r="E184" s="12" t="str">
        <f ca="1">IFERROR(__xludf.DUMMYFUNCTION("""COMPUTED_VALUE"""),"Book")</f>
        <v>Book</v>
      </c>
      <c r="F184" s="12" t="str">
        <f ca="1">IFERROR(__xludf.DUMMYFUNCTION("""COMPUTED_VALUE"""),"Children")</f>
        <v>Children</v>
      </c>
      <c r="G184" s="12"/>
      <c r="H184" s="12"/>
      <c r="I184" s="12"/>
      <c r="J184" s="12"/>
      <c r="K184" s="13">
        <f ca="1">IFERROR(__xludf.DUMMYFUNCTION("""COMPUTED_VALUE"""),41041)</f>
        <v>41041</v>
      </c>
      <c r="L184" s="12"/>
      <c r="M184" s="12"/>
      <c r="N184" s="12" t="str">
        <f ca="1">IFERROR(__xludf.DUMMYFUNCTION("""COMPUTED_VALUE"""),"Table1")</f>
        <v>Table1</v>
      </c>
    </row>
    <row r="185" spans="1:14" ht="15.75" customHeight="1" x14ac:dyDescent="0.35">
      <c r="A185" s="12" t="str">
        <f ca="1">IFERROR(__xludf.DUMMYFUNCTION("""COMPUTED_VALUE"""),"Dunlop, Ed")</f>
        <v>Dunlop, Ed</v>
      </c>
      <c r="B185" s="12" t="str">
        <f ca="1">IFERROR(__xludf.DUMMYFUNCTION("""COMPUTED_VALUE""")," Ed Dunlop")</f>
        <v xml:space="preserve"> Ed Dunlop</v>
      </c>
      <c r="C185" s="12" t="str">
        <f ca="1">IFERROR(__xludf.DUMMYFUNCTION("""COMPUTED_VALUE"""),"The Incredible Rescues")</f>
        <v>The Incredible Rescues</v>
      </c>
      <c r="D185" s="4"/>
      <c r="E185" s="12" t="str">
        <f ca="1">IFERROR(__xludf.DUMMYFUNCTION("""COMPUTED_VALUE"""),"Book")</f>
        <v>Book</v>
      </c>
      <c r="F185" s="12" t="str">
        <f ca="1">IFERROR(__xludf.DUMMYFUNCTION("""COMPUTED_VALUE"""),"Children")</f>
        <v>Children</v>
      </c>
      <c r="G185" s="12"/>
      <c r="H185" s="12"/>
      <c r="I185" s="12"/>
      <c r="J185" s="12"/>
      <c r="K185" s="13">
        <f ca="1">IFERROR(__xludf.DUMMYFUNCTION("""COMPUTED_VALUE"""),41041)</f>
        <v>41041</v>
      </c>
      <c r="L185" s="12"/>
      <c r="M185" s="12"/>
      <c r="N185" s="12" t="str">
        <f ca="1">IFERROR(__xludf.DUMMYFUNCTION("""COMPUTED_VALUE"""),"Table1")</f>
        <v>Table1</v>
      </c>
    </row>
    <row r="186" spans="1:14" ht="15.75" customHeight="1" x14ac:dyDescent="0.35">
      <c r="A186" s="12" t="str">
        <f ca="1">IFERROR(__xludf.DUMMYFUNCTION("""COMPUTED_VALUE"""),"Dunlop, Ed")</f>
        <v>Dunlop, Ed</v>
      </c>
      <c r="B186" s="12" t="str">
        <f ca="1">IFERROR(__xludf.DUMMYFUNCTION("""COMPUTED_VALUE""")," Ed Dunlop")</f>
        <v xml:space="preserve"> Ed Dunlop</v>
      </c>
      <c r="C186" s="12" t="str">
        <f ca="1">IFERROR(__xludf.DUMMYFUNCTION("""COMPUTED_VALUE"""),"The Search for the Silver Eagle")</f>
        <v>The Search for the Silver Eagle</v>
      </c>
      <c r="D186" s="4"/>
      <c r="E186" s="12" t="str">
        <f ca="1">IFERROR(__xludf.DUMMYFUNCTION("""COMPUTED_VALUE"""),"Book")</f>
        <v>Book</v>
      </c>
      <c r="F186" s="12" t="str">
        <f ca="1">IFERROR(__xludf.DUMMYFUNCTION("""COMPUTED_VALUE"""),"Children")</f>
        <v>Children</v>
      </c>
      <c r="G186" s="12"/>
      <c r="H186" s="12"/>
      <c r="I186" s="12"/>
      <c r="J186" s="12"/>
      <c r="K186" s="13">
        <f ca="1">IFERROR(__xludf.DUMMYFUNCTION("""COMPUTED_VALUE"""),41164)</f>
        <v>41164</v>
      </c>
      <c r="L186" s="12"/>
      <c r="M186" s="12"/>
      <c r="N186" s="12" t="str">
        <f ca="1">IFERROR(__xludf.DUMMYFUNCTION("""COMPUTED_VALUE"""),"Table1")</f>
        <v>Table1</v>
      </c>
    </row>
    <row r="187" spans="1:14" ht="15.75" customHeight="1" x14ac:dyDescent="0.35">
      <c r="A187" s="12" t="str">
        <f ca="1">IFERROR(__xludf.DUMMYFUNCTION("""COMPUTED_VALUE"""),"DVD Accompaniment")</f>
        <v>DVD Accompaniment</v>
      </c>
      <c r="B187" s="12" t="str">
        <f ca="1">IFERROR(__xludf.DUMMYFUNCTION("""COMPUTED_VALUE"""),"DVD Accompaniment")</f>
        <v>DVD Accompaniment</v>
      </c>
      <c r="C187" s="12" t="str">
        <f ca="1">IFERROR(__xludf.DUMMYFUNCTION("""COMPUTED_VALUE"""),"D.M. Martin Lloyd-Jones Logic on Fire")</f>
        <v>D.M. Martin Lloyd-Jones Logic on Fire</v>
      </c>
      <c r="D187" s="4" t="str">
        <f ca="1">IFERROR(__xludf.DUMMYFUNCTION("""COMPUTED_VALUE"""),"Editor M.D. Perkins")</f>
        <v>Editor M.D. Perkins</v>
      </c>
      <c r="E187" s="12" t="str">
        <f ca="1">IFERROR(__xludf.DUMMYFUNCTION("""COMPUTED_VALUE"""),"Book")</f>
        <v>Book</v>
      </c>
      <c r="F187" s="12" t="str">
        <f ca="1">IFERROR(__xludf.DUMMYFUNCTION("""COMPUTED_VALUE"""),"Biography")</f>
        <v>Biography</v>
      </c>
      <c r="G187" s="12"/>
      <c r="H187" s="12"/>
      <c r="I187" s="12"/>
      <c r="J187" s="12"/>
      <c r="K187" s="13">
        <f ca="1">IFERROR(__xludf.DUMMYFUNCTION("""COMPUTED_VALUE"""),42511)</f>
        <v>42511</v>
      </c>
      <c r="L187" s="12"/>
      <c r="M187" s="12"/>
      <c r="N187" s="12" t="str">
        <f ca="1">IFERROR(__xludf.DUMMYFUNCTION("""COMPUTED_VALUE"""),"Table1")</f>
        <v>Table1</v>
      </c>
    </row>
    <row r="188" spans="1:14" ht="15.75" customHeight="1" x14ac:dyDescent="0.35">
      <c r="A188" s="12" t="str">
        <f ca="1">IFERROR(__xludf.DUMMYFUNCTION("""COMPUTED_VALUE"""),"Dykas, Ellen ed")</f>
        <v>Dykas, Ellen ed</v>
      </c>
      <c r="B188" s="12" t="str">
        <f ca="1">IFERROR(__xludf.DUMMYFUNCTION("""COMPUTED_VALUE""")," Ellen ed Dykas")</f>
        <v xml:space="preserve"> Ellen ed Dykas</v>
      </c>
      <c r="C188" s="12" t="str">
        <f ca="1">IFERROR(__xludf.DUMMYFUNCTION("""COMPUTED_VALUE"""),"Sexual Sanity for Women")</f>
        <v>Sexual Sanity for Women</v>
      </c>
      <c r="D188" s="4"/>
      <c r="E188" s="12" t="str">
        <f ca="1">IFERROR(__xludf.DUMMYFUNCTION("""COMPUTED_VALUE"""),"Book")</f>
        <v>Book</v>
      </c>
      <c r="F188" s="12" t="str">
        <f ca="1">IFERROR(__xludf.DUMMYFUNCTION("""COMPUTED_VALUE"""),"Understanding Mankind")</f>
        <v>Understanding Mankind</v>
      </c>
      <c r="G188" s="12"/>
      <c r="H188" s="12"/>
      <c r="I188" s="12"/>
      <c r="J188" s="12" t="str">
        <f ca="1">IFERROR(__xludf.DUMMYFUNCTION("""COMPUTED_VALUE"""),"Sexuality, Christian Women")</f>
        <v>Sexuality, Christian Women</v>
      </c>
      <c r="K188" s="13">
        <f ca="1">IFERROR(__xludf.DUMMYFUNCTION("""COMPUTED_VALUE"""),41621)</f>
        <v>41621</v>
      </c>
      <c r="L188" s="12"/>
      <c r="M188" s="12"/>
      <c r="N188" s="12" t="str">
        <f ca="1">IFERROR(__xludf.DUMMYFUNCTION("""COMPUTED_VALUE"""),"Table1")</f>
        <v>Table1</v>
      </c>
    </row>
    <row r="189" spans="1:14" ht="15.75" customHeight="1" x14ac:dyDescent="0.35">
      <c r="A189" s="12" t="str">
        <f ca="1">IFERROR(__xludf.DUMMYFUNCTION("""COMPUTED_VALUE"""),"Eastman, Brock")</f>
        <v>Eastman, Brock</v>
      </c>
      <c r="B189" s="12" t="str">
        <f ca="1">IFERROR(__xludf.DUMMYFUNCTION("""COMPUTED_VALUE""")," Brock Eastman")</f>
        <v xml:space="preserve"> Brock Eastman</v>
      </c>
      <c r="C189" s="12" t="str">
        <f ca="1">IFERROR(__xludf.DUMMYFUNCTION("""COMPUTED_VALUE"""),"Risk")</f>
        <v>Risk</v>
      </c>
      <c r="D189" s="4" t="str">
        <f ca="1">IFERROR(__xludf.DUMMYFUNCTION("""COMPUTED_VALUE"""),"The Quest for Truth")</f>
        <v>The Quest for Truth</v>
      </c>
      <c r="E189" s="12" t="str">
        <f ca="1">IFERROR(__xludf.DUMMYFUNCTION("""COMPUTED_VALUE"""),"Book")</f>
        <v>Book</v>
      </c>
      <c r="F189" s="12" t="str">
        <f ca="1">IFERROR(__xludf.DUMMYFUNCTION("""COMPUTED_VALUE"""),"Children")</f>
        <v>Children</v>
      </c>
      <c r="G189" s="12" t="str">
        <f ca="1">IFERROR(__xludf.DUMMYFUNCTION("""COMPUTED_VALUE"""),"Youth")</f>
        <v>Youth</v>
      </c>
      <c r="H189" s="12"/>
      <c r="I189" s="12"/>
      <c r="J189" s="12"/>
      <c r="K189" s="13"/>
      <c r="L189" s="12"/>
      <c r="M189" s="12"/>
      <c r="N189" s="12" t="str">
        <f ca="1">IFERROR(__xludf.DUMMYFUNCTION("""COMPUTED_VALUE"""),"Table1")</f>
        <v>Table1</v>
      </c>
    </row>
    <row r="190" spans="1:14" ht="15.75" customHeight="1" x14ac:dyDescent="0.35">
      <c r="A190" s="12" t="str">
        <f ca="1">IFERROR(__xludf.DUMMYFUNCTION("""COMPUTED_VALUE"""),"Eastman, Brock")</f>
        <v>Eastman, Brock</v>
      </c>
      <c r="B190" s="12" t="str">
        <f ca="1">IFERROR(__xludf.DUMMYFUNCTION("""COMPUTED_VALUE""")," Brock Eastman")</f>
        <v xml:space="preserve"> Brock Eastman</v>
      </c>
      <c r="C190" s="12" t="str">
        <f ca="1">IFERROR(__xludf.DUMMYFUNCTION("""COMPUTED_VALUE"""),"Taken")</f>
        <v>Taken</v>
      </c>
      <c r="D190" s="4" t="str">
        <f ca="1">IFERROR(__xludf.DUMMYFUNCTION("""COMPUTED_VALUE"""),"The Quest for Truth")</f>
        <v>The Quest for Truth</v>
      </c>
      <c r="E190" s="12" t="str">
        <f ca="1">IFERROR(__xludf.DUMMYFUNCTION("""COMPUTED_VALUE"""),"Book")</f>
        <v>Book</v>
      </c>
      <c r="F190" s="12" t="str">
        <f ca="1">IFERROR(__xludf.DUMMYFUNCTION("""COMPUTED_VALUE"""),"Children")</f>
        <v>Children</v>
      </c>
      <c r="G190" s="12" t="str">
        <f ca="1">IFERROR(__xludf.DUMMYFUNCTION("""COMPUTED_VALUE"""),"Youth")</f>
        <v>Youth</v>
      </c>
      <c r="H190" s="12"/>
      <c r="I190" s="12"/>
      <c r="J190" s="12"/>
      <c r="K190" s="13"/>
      <c r="L190" s="12"/>
      <c r="M190" s="12"/>
      <c r="N190" s="12" t="str">
        <f ca="1">IFERROR(__xludf.DUMMYFUNCTION("""COMPUTED_VALUE"""),"Table1")</f>
        <v>Table1</v>
      </c>
    </row>
    <row r="191" spans="1:14" ht="15.75" customHeight="1" x14ac:dyDescent="0.35">
      <c r="A191" s="12" t="str">
        <f ca="1">IFERROR(__xludf.DUMMYFUNCTION("""COMPUTED_VALUE"""),"Eastman, Brock")</f>
        <v>Eastman, Brock</v>
      </c>
      <c r="B191" s="12" t="str">
        <f ca="1">IFERROR(__xludf.DUMMYFUNCTION("""COMPUTED_VALUE""")," Brock Eastman")</f>
        <v xml:space="preserve"> Brock Eastman</v>
      </c>
      <c r="C191" s="12" t="str">
        <f ca="1">IFERROR(__xludf.DUMMYFUNCTION("""COMPUTED_VALUE"""),"Tangle")</f>
        <v>Tangle</v>
      </c>
      <c r="D191" s="4" t="str">
        <f ca="1">IFERROR(__xludf.DUMMYFUNCTION("""COMPUTED_VALUE"""),"The Quest for Truth")</f>
        <v>The Quest for Truth</v>
      </c>
      <c r="E191" s="12" t="str">
        <f ca="1">IFERROR(__xludf.DUMMYFUNCTION("""COMPUTED_VALUE"""),"Book")</f>
        <v>Book</v>
      </c>
      <c r="F191" s="12" t="str">
        <f ca="1">IFERROR(__xludf.DUMMYFUNCTION("""COMPUTED_VALUE"""),"Children")</f>
        <v>Children</v>
      </c>
      <c r="G191" s="12" t="str">
        <f ca="1">IFERROR(__xludf.DUMMYFUNCTION("""COMPUTED_VALUE"""),"Youth")</f>
        <v>Youth</v>
      </c>
      <c r="H191" s="12"/>
      <c r="I191" s="12"/>
      <c r="J191" s="12"/>
      <c r="K191" s="13"/>
      <c r="L191" s="12"/>
      <c r="M191" s="12"/>
      <c r="N191" s="12" t="str">
        <f ca="1">IFERROR(__xludf.DUMMYFUNCTION("""COMPUTED_VALUE"""),"Table1")</f>
        <v>Table1</v>
      </c>
    </row>
    <row r="192" spans="1:14" ht="15.75" customHeight="1" x14ac:dyDescent="0.35">
      <c r="A192" s="12" t="str">
        <f ca="1">IFERROR(__xludf.DUMMYFUNCTION("""COMPUTED_VALUE"""),"Eastman, Brock")</f>
        <v>Eastman, Brock</v>
      </c>
      <c r="B192" s="12" t="str">
        <f ca="1">IFERROR(__xludf.DUMMYFUNCTION("""COMPUTED_VALUE""")," Brock Eastman")</f>
        <v xml:space="preserve"> Brock Eastman</v>
      </c>
      <c r="C192" s="12" t="str">
        <f ca="1">IFERROR(__xludf.DUMMYFUNCTION("""COMPUTED_VALUE"""),"Unleash")</f>
        <v>Unleash</v>
      </c>
      <c r="D192" s="4" t="str">
        <f ca="1">IFERROR(__xludf.DUMMYFUNCTION("""COMPUTED_VALUE"""),"The Quest for Truth")</f>
        <v>The Quest for Truth</v>
      </c>
      <c r="E192" s="12" t="str">
        <f ca="1">IFERROR(__xludf.DUMMYFUNCTION("""COMPUTED_VALUE"""),"Book")</f>
        <v>Book</v>
      </c>
      <c r="F192" s="12" t="str">
        <f ca="1">IFERROR(__xludf.DUMMYFUNCTION("""COMPUTED_VALUE"""),"Children")</f>
        <v>Children</v>
      </c>
      <c r="G192" s="12" t="str">
        <f ca="1">IFERROR(__xludf.DUMMYFUNCTION("""COMPUTED_VALUE"""),"Youth")</f>
        <v>Youth</v>
      </c>
      <c r="H192" s="12"/>
      <c r="I192" s="12"/>
      <c r="J192" s="12"/>
      <c r="K192" s="13"/>
      <c r="L192" s="12"/>
      <c r="M192" s="12"/>
      <c r="N192" s="12" t="str">
        <f ca="1">IFERROR(__xludf.DUMMYFUNCTION("""COMPUTED_VALUE"""),"Table1")</f>
        <v>Table1</v>
      </c>
    </row>
    <row r="193" spans="1:14" ht="15.75" customHeight="1" x14ac:dyDescent="0.35">
      <c r="A193" s="12" t="str">
        <f ca="1">IFERROR(__xludf.DUMMYFUNCTION("""COMPUTED_VALUE"""),"Edersheim, Alfred")</f>
        <v>Edersheim, Alfred</v>
      </c>
      <c r="B193" s="12" t="str">
        <f ca="1">IFERROR(__xludf.DUMMYFUNCTION("""COMPUTED_VALUE""")," Alfred Edersheim")</f>
        <v xml:space="preserve"> Alfred Edersheim</v>
      </c>
      <c r="C193" s="12" t="str">
        <f ca="1">IFERROR(__xludf.DUMMYFUNCTION("""COMPUTED_VALUE"""),"The Life and Times of Jesus the Messiah")</f>
        <v>The Life and Times of Jesus the Messiah</v>
      </c>
      <c r="D193" s="4"/>
      <c r="E193" s="12" t="str">
        <f ca="1">IFERROR(__xludf.DUMMYFUNCTION("""COMPUTED_VALUE"""),"Book")</f>
        <v>Book</v>
      </c>
      <c r="F193" s="12" t="str">
        <f ca="1">IFERROR(__xludf.DUMMYFUNCTION("""COMPUTED_VALUE"""),"Reference")</f>
        <v>Reference</v>
      </c>
      <c r="G193" s="12"/>
      <c r="H193" s="12"/>
      <c r="I193" s="12"/>
      <c r="J193" s="12"/>
      <c r="K193" s="13">
        <f ca="1">IFERROR(__xludf.DUMMYFUNCTION("""COMPUTED_VALUE"""),40034)</f>
        <v>40034</v>
      </c>
      <c r="L193" s="12"/>
      <c r="M193" s="12"/>
      <c r="N193" s="12" t="str">
        <f ca="1">IFERROR(__xludf.DUMMYFUNCTION("""COMPUTED_VALUE"""),"Table1")</f>
        <v>Table1</v>
      </c>
    </row>
    <row r="194" spans="1:14" ht="15.75" customHeight="1" x14ac:dyDescent="0.35">
      <c r="A194" s="12" t="str">
        <f ca="1">IFERROR(__xludf.DUMMYFUNCTION("""COMPUTED_VALUE"""),"Edgar, William")</f>
        <v>Edgar, William</v>
      </c>
      <c r="B194" s="12" t="str">
        <f ca="1">IFERROR(__xludf.DUMMYFUNCTION("""COMPUTED_VALUE""")," William Edgar")</f>
        <v xml:space="preserve"> William Edgar</v>
      </c>
      <c r="C194" s="12" t="str">
        <f ca="1">IFERROR(__xludf.DUMMYFUNCTION("""COMPUTED_VALUE"""),"The Face of Truth")</f>
        <v>The Face of Truth</v>
      </c>
      <c r="D194" s="4"/>
      <c r="E194" s="12" t="str">
        <f ca="1">IFERROR(__xludf.DUMMYFUNCTION("""COMPUTED_VALUE"""),"Book")</f>
        <v>Book</v>
      </c>
      <c r="F194" s="12" t="str">
        <f ca="1">IFERROR(__xludf.DUMMYFUNCTION("""COMPUTED_VALUE"""),"Theology")</f>
        <v>Theology</v>
      </c>
      <c r="G194" s="12" t="str">
        <f ca="1">IFERROR(__xludf.DUMMYFUNCTION("""COMPUTED_VALUE"""),"Worldview")</f>
        <v>Worldview</v>
      </c>
      <c r="H194" s="12"/>
      <c r="I194" s="12"/>
      <c r="J194" s="12"/>
      <c r="K194" s="13">
        <f ca="1">IFERROR(__xludf.DUMMYFUNCTION("""COMPUTED_VALUE"""),41591)</f>
        <v>41591</v>
      </c>
      <c r="L194" s="12"/>
      <c r="M194" s="12"/>
      <c r="N194" s="12" t="str">
        <f ca="1">IFERROR(__xludf.DUMMYFUNCTION("""COMPUTED_VALUE"""),"Table1")</f>
        <v>Table1</v>
      </c>
    </row>
    <row r="195" spans="1:14" ht="15.75" customHeight="1" x14ac:dyDescent="0.35">
      <c r="A195" s="12" t="str">
        <f ca="1">IFERROR(__xludf.DUMMYFUNCTION("""COMPUTED_VALUE"""),"Edgar, William")</f>
        <v>Edgar, William</v>
      </c>
      <c r="B195" s="12" t="str">
        <f ca="1">IFERROR(__xludf.DUMMYFUNCTION("""COMPUTED_VALUE""")," William Edgar")</f>
        <v xml:space="preserve"> William Edgar</v>
      </c>
      <c r="C195" s="12" t="str">
        <f ca="1">IFERROR(__xludf.DUMMYFUNCTION("""COMPUTED_VALUE"""),"You Asked: Your Questions.  God's Answers.")</f>
        <v>You Asked: Your Questions.  God's Answers.</v>
      </c>
      <c r="D195" s="4"/>
      <c r="E195" s="12" t="str">
        <f ca="1">IFERROR(__xludf.DUMMYFUNCTION("""COMPUTED_VALUE"""),"Book")</f>
        <v>Book</v>
      </c>
      <c r="F195" s="12" t="str">
        <f ca="1">IFERROR(__xludf.DUMMYFUNCTION("""COMPUTED_VALUE"""),"Theology")</f>
        <v>Theology</v>
      </c>
      <c r="G195" s="12"/>
      <c r="H195" s="12"/>
      <c r="I195" s="12"/>
      <c r="J195" s="12" t="str">
        <f ca="1">IFERROR(__xludf.DUMMYFUNCTION("""COMPUTED_VALUE"""),"Youth")</f>
        <v>Youth</v>
      </c>
      <c r="K195" s="13">
        <f ca="1">IFERROR(__xludf.DUMMYFUNCTION("""COMPUTED_VALUE"""),41804)</f>
        <v>41804</v>
      </c>
      <c r="L195" s="12"/>
      <c r="M195" s="12"/>
      <c r="N195" s="12" t="str">
        <f ca="1">IFERROR(__xludf.DUMMYFUNCTION("""COMPUTED_VALUE"""),"Table1")</f>
        <v>Table1</v>
      </c>
    </row>
    <row r="196" spans="1:14" ht="15.75" customHeight="1" x14ac:dyDescent="0.35">
      <c r="A196" s="12" t="str">
        <f ca="1">IFERROR(__xludf.DUMMYFUNCTION("""COMPUTED_VALUE"""),"Edwards, James R.")</f>
        <v>Edwards, James R.</v>
      </c>
      <c r="B196" s="12" t="str">
        <f ca="1">IFERROR(__xludf.DUMMYFUNCTION("""COMPUTED_VALUE""")," James R. Edwards")</f>
        <v xml:space="preserve"> James R. Edwards</v>
      </c>
      <c r="C196" s="12" t="str">
        <f ca="1">IFERROR(__xludf.DUMMYFUNCTION("""COMPUTED_VALUE"""),"The Gospel According to Mark")</f>
        <v>The Gospel According to Mark</v>
      </c>
      <c r="D196" s="4"/>
      <c r="E196" s="12" t="str">
        <f ca="1">IFERROR(__xludf.DUMMYFUNCTION("""COMPUTED_VALUE"""),"Book")</f>
        <v>Book</v>
      </c>
      <c r="F196" s="12" t="str">
        <f ca="1">IFERROR(__xludf.DUMMYFUNCTION("""COMPUTED_VALUE"""),"Reference")</f>
        <v>Reference</v>
      </c>
      <c r="G196" s="12"/>
      <c r="H196" s="12"/>
      <c r="I196" s="12"/>
      <c r="J196" s="12"/>
      <c r="K196" s="13">
        <f ca="1">IFERROR(__xludf.DUMMYFUNCTION("""COMPUTED_VALUE"""),42795)</f>
        <v>42795</v>
      </c>
      <c r="L196" s="12"/>
      <c r="M196" s="12"/>
      <c r="N196" s="12" t="str">
        <f ca="1">IFERROR(__xludf.DUMMYFUNCTION("""COMPUTED_VALUE"""),"Table1")</f>
        <v>Table1</v>
      </c>
    </row>
    <row r="197" spans="1:14" ht="15.75" customHeight="1" x14ac:dyDescent="0.35">
      <c r="A197" s="12" t="str">
        <f ca="1">IFERROR(__xludf.DUMMYFUNCTION("""COMPUTED_VALUE"""),"Elliot, Elizabeth")</f>
        <v>Elliot, Elizabeth</v>
      </c>
      <c r="B197" s="12" t="str">
        <f ca="1">IFERROR(__xludf.DUMMYFUNCTION("""COMPUTED_VALUE""")," Elizabeth Elliot")</f>
        <v xml:space="preserve"> Elizabeth Elliot</v>
      </c>
      <c r="C197" s="12" t="str">
        <f ca="1">IFERROR(__xludf.DUMMYFUNCTION("""COMPUTED_VALUE"""),"Keep a Quiet Heart")</f>
        <v>Keep a Quiet Heart</v>
      </c>
      <c r="D197" s="4"/>
      <c r="E197" s="12" t="str">
        <f ca="1">IFERROR(__xludf.DUMMYFUNCTION("""COMPUTED_VALUE"""),"Book")</f>
        <v>Book</v>
      </c>
      <c r="F197" s="12" t="str">
        <f ca="1">IFERROR(__xludf.DUMMYFUNCTION("""COMPUTED_VALUE"""),"Discipleship")</f>
        <v>Discipleship</v>
      </c>
      <c r="G197" s="12"/>
      <c r="H197" s="12"/>
      <c r="I197" s="12"/>
      <c r="J197" s="12"/>
      <c r="K197" s="13">
        <f ca="1">IFERROR(__xludf.DUMMYFUNCTION("""COMPUTED_VALUE"""),40034)</f>
        <v>40034</v>
      </c>
      <c r="L197" s="12"/>
      <c r="M197" s="12"/>
      <c r="N197" s="12" t="str">
        <f ca="1">IFERROR(__xludf.DUMMYFUNCTION("""COMPUTED_VALUE"""),"Table1")</f>
        <v>Table1</v>
      </c>
    </row>
    <row r="198" spans="1:14" ht="15.75" customHeight="1" x14ac:dyDescent="0.35">
      <c r="A198" s="12" t="str">
        <f ca="1">IFERROR(__xludf.DUMMYFUNCTION("""COMPUTED_VALUE"""),"Elliot, Elizabeth")</f>
        <v>Elliot, Elizabeth</v>
      </c>
      <c r="B198" s="12" t="str">
        <f ca="1">IFERROR(__xludf.DUMMYFUNCTION("""COMPUTED_VALUE""")," Elizabeth Elliot")</f>
        <v xml:space="preserve"> Elizabeth Elliot</v>
      </c>
      <c r="C198" s="12" t="str">
        <f ca="1">IFERROR(__xludf.DUMMYFUNCTION("""COMPUTED_VALUE"""),"Passion and Purity")</f>
        <v>Passion and Purity</v>
      </c>
      <c r="D198" s="4"/>
      <c r="E198" s="12" t="str">
        <f ca="1">IFERROR(__xludf.DUMMYFUNCTION("""COMPUTED_VALUE"""),"Book")</f>
        <v>Book</v>
      </c>
      <c r="F198" s="12" t="str">
        <f ca="1">IFERROR(__xludf.DUMMYFUNCTION("""COMPUTED_VALUE"""),"Understanding Mankind")</f>
        <v>Understanding Mankind</v>
      </c>
      <c r="G198" s="12"/>
      <c r="H198" s="12"/>
      <c r="I198" s="12"/>
      <c r="J198" s="12" t="str">
        <f ca="1">IFERROR(__xludf.DUMMYFUNCTION("""COMPUTED_VALUE"""),"Dating")</f>
        <v>Dating</v>
      </c>
      <c r="K198" s="13">
        <f ca="1">IFERROR(__xludf.DUMMYFUNCTION("""COMPUTED_VALUE"""),40034)</f>
        <v>40034</v>
      </c>
      <c r="L198" s="12"/>
      <c r="M198" s="12"/>
      <c r="N198" s="12" t="str">
        <f ca="1">IFERROR(__xludf.DUMMYFUNCTION("""COMPUTED_VALUE"""),"Table1")</f>
        <v>Table1</v>
      </c>
    </row>
    <row r="199" spans="1:14" ht="15.75" customHeight="1" x14ac:dyDescent="0.35">
      <c r="A199" s="12" t="str">
        <f ca="1">IFERROR(__xludf.DUMMYFUNCTION("""COMPUTED_VALUE"""),"Elliot, Elizabeth")</f>
        <v>Elliot, Elizabeth</v>
      </c>
      <c r="B199" s="12" t="str">
        <f ca="1">IFERROR(__xludf.DUMMYFUNCTION("""COMPUTED_VALUE""")," Elizabeth Elliot")</f>
        <v xml:space="preserve"> Elizabeth Elliot</v>
      </c>
      <c r="C199" s="12" t="str">
        <f ca="1">IFERROR(__xludf.DUMMYFUNCTION("""COMPUTED_VALUE"""),"Secure in the Everlasting Arms")</f>
        <v>Secure in the Everlasting Arms</v>
      </c>
      <c r="D199" s="4"/>
      <c r="E199" s="12" t="str">
        <f ca="1">IFERROR(__xludf.DUMMYFUNCTION("""COMPUTED_VALUE"""),"Book")</f>
        <v>Book</v>
      </c>
      <c r="F199" s="12" t="str">
        <f ca="1">IFERROR(__xludf.DUMMYFUNCTION("""COMPUTED_VALUE"""),"Discipleship")</f>
        <v>Discipleship</v>
      </c>
      <c r="G199" s="12"/>
      <c r="H199" s="12"/>
      <c r="I199" s="12"/>
      <c r="J199" s="12"/>
      <c r="K199" s="13">
        <f ca="1">IFERROR(__xludf.DUMMYFUNCTION("""COMPUTED_VALUE"""),40034)</f>
        <v>40034</v>
      </c>
      <c r="L199" s="12"/>
      <c r="M199" s="12"/>
      <c r="N199" s="12" t="str">
        <f ca="1">IFERROR(__xludf.DUMMYFUNCTION("""COMPUTED_VALUE"""),"Table1")</f>
        <v>Table1</v>
      </c>
    </row>
    <row r="200" spans="1:14" ht="15.75" customHeight="1" x14ac:dyDescent="0.35">
      <c r="A200" s="12" t="str">
        <f ca="1">IFERROR(__xludf.DUMMYFUNCTION("""COMPUTED_VALUE"""),"Elliot, Elizabeth")</f>
        <v>Elliot, Elizabeth</v>
      </c>
      <c r="B200" s="12" t="str">
        <f ca="1">IFERROR(__xludf.DUMMYFUNCTION("""COMPUTED_VALUE""")," Elizabeth Elliot")</f>
        <v xml:space="preserve"> Elizabeth Elliot</v>
      </c>
      <c r="C200" s="12" t="str">
        <f ca="1">IFERROR(__xludf.DUMMYFUNCTION("""COMPUTED_VALUE"""),"Shadow of the Almighty: Life &amp; Testament of Jim Elliot")</f>
        <v>Shadow of the Almighty: Life &amp; Testament of Jim Elliot</v>
      </c>
      <c r="D200" s="4"/>
      <c r="E200" s="12" t="str">
        <f ca="1">IFERROR(__xludf.DUMMYFUNCTION("""COMPUTED_VALUE"""),"Book")</f>
        <v>Book</v>
      </c>
      <c r="F200" s="12" t="str">
        <f ca="1">IFERROR(__xludf.DUMMYFUNCTION("""COMPUTED_VALUE"""),"Biography")</f>
        <v>Biography</v>
      </c>
      <c r="G200" s="12"/>
      <c r="H200" s="12"/>
      <c r="I200" s="12"/>
      <c r="J200" s="12" t="str">
        <f ca="1">IFERROR(__xludf.DUMMYFUNCTION("""COMPUTED_VALUE"""),"Missions")</f>
        <v>Missions</v>
      </c>
      <c r="K200" s="13">
        <f ca="1">IFERROR(__xludf.DUMMYFUNCTION("""COMPUTED_VALUE"""),40034)</f>
        <v>40034</v>
      </c>
      <c r="L200" s="12"/>
      <c r="M200" s="12"/>
      <c r="N200" s="12" t="str">
        <f ca="1">IFERROR(__xludf.DUMMYFUNCTION("""COMPUTED_VALUE"""),"Table1")</f>
        <v>Table1</v>
      </c>
    </row>
    <row r="201" spans="1:14" ht="15.75" customHeight="1" x14ac:dyDescent="0.35">
      <c r="A201" s="12" t="str">
        <f ca="1">IFERROR(__xludf.DUMMYFUNCTION("""COMPUTED_VALUE"""),"Elliot, Elizabeth")</f>
        <v>Elliot, Elizabeth</v>
      </c>
      <c r="B201" s="12" t="str">
        <f ca="1">IFERROR(__xludf.DUMMYFUNCTION("""COMPUTED_VALUE""")," Elizabeth Elliot")</f>
        <v xml:space="preserve"> Elizabeth Elliot</v>
      </c>
      <c r="C201" s="12" t="str">
        <f ca="1">IFERROR(__xludf.DUMMYFUNCTION("""COMPUTED_VALUE"""),"Through Gates of Splendor")</f>
        <v>Through Gates of Splendor</v>
      </c>
      <c r="D201" s="4"/>
      <c r="E201" s="12" t="str">
        <f ca="1">IFERROR(__xludf.DUMMYFUNCTION("""COMPUTED_VALUE"""),"Book")</f>
        <v>Book</v>
      </c>
      <c r="F201" s="12" t="str">
        <f ca="1">IFERROR(__xludf.DUMMYFUNCTION("""COMPUTED_VALUE"""),"Biography")</f>
        <v>Biography</v>
      </c>
      <c r="G201" s="12"/>
      <c r="H201" s="12"/>
      <c r="I201" s="12"/>
      <c r="J201" s="12" t="str">
        <f ca="1">IFERROR(__xludf.DUMMYFUNCTION("""COMPUTED_VALUE"""),"Missions")</f>
        <v>Missions</v>
      </c>
      <c r="K201" s="13">
        <f ca="1">IFERROR(__xludf.DUMMYFUNCTION("""COMPUTED_VALUE"""),40034)</f>
        <v>40034</v>
      </c>
      <c r="L201" s="12"/>
      <c r="M201" s="12"/>
      <c r="N201" s="12" t="str">
        <f ca="1">IFERROR(__xludf.DUMMYFUNCTION("""COMPUTED_VALUE"""),"Table1")</f>
        <v>Table1</v>
      </c>
    </row>
    <row r="202" spans="1:14" ht="15.75" customHeight="1" x14ac:dyDescent="0.35">
      <c r="A202" s="12" t="str">
        <f ca="1">IFERROR(__xludf.DUMMYFUNCTION("""COMPUTED_VALUE"""),"Elwell, Walter")</f>
        <v>Elwell, Walter</v>
      </c>
      <c r="B202" s="12" t="str">
        <f ca="1">IFERROR(__xludf.DUMMYFUNCTION("""COMPUTED_VALUE""")," Walter Elwell")</f>
        <v xml:space="preserve"> Walter Elwell</v>
      </c>
      <c r="C202" s="12" t="str">
        <f ca="1">IFERROR(__xludf.DUMMYFUNCTION("""COMPUTED_VALUE"""),"Evangelical Dictionary of Theology")</f>
        <v>Evangelical Dictionary of Theology</v>
      </c>
      <c r="D202" s="4"/>
      <c r="E202" s="12" t="str">
        <f ca="1">IFERROR(__xludf.DUMMYFUNCTION("""COMPUTED_VALUE"""),"Book")</f>
        <v>Book</v>
      </c>
      <c r="F202" s="12" t="str">
        <f ca="1">IFERROR(__xludf.DUMMYFUNCTION("""COMPUTED_VALUE"""),"Reference")</f>
        <v>Reference</v>
      </c>
      <c r="G202" s="12"/>
      <c r="H202" s="12"/>
      <c r="I202" s="12"/>
      <c r="J202" s="12"/>
      <c r="K202" s="13">
        <f ca="1">IFERROR(__xludf.DUMMYFUNCTION("""COMPUTED_VALUE"""),40034)</f>
        <v>40034</v>
      </c>
      <c r="L202" s="12"/>
      <c r="M202" s="12"/>
      <c r="N202" s="12" t="str">
        <f ca="1">IFERROR(__xludf.DUMMYFUNCTION("""COMPUTED_VALUE"""),"Table1")</f>
        <v>Table1</v>
      </c>
    </row>
    <row r="203" spans="1:14" ht="15.75" customHeight="1" x14ac:dyDescent="0.35">
      <c r="A203" s="12" t="str">
        <f ca="1">IFERROR(__xludf.DUMMYFUNCTION("""COMPUTED_VALUE"""),"Emlet, Michael R.")</f>
        <v>Emlet, Michael R.</v>
      </c>
      <c r="B203" s="12" t="str">
        <f ca="1">IFERROR(__xludf.DUMMYFUNCTION("""COMPUTED_VALUE""")," Michael R. Emlet")</f>
        <v xml:space="preserve"> Michael R. Emlet</v>
      </c>
      <c r="C203" s="12" t="str">
        <f ca="1">IFERROR(__xludf.DUMMYFUNCTION("""COMPUTED_VALUE"""),"Descriptions and Prescriptions: A Biblical Perspective on Psychiatric Diagnoses and Medications")</f>
        <v>Descriptions and Prescriptions: A Biblical Perspective on Psychiatric Diagnoses and Medications</v>
      </c>
      <c r="D203" s="4"/>
      <c r="E203" s="12" t="str">
        <f ca="1">IFERROR(__xludf.DUMMYFUNCTION("""COMPUTED_VALUE"""),"Book")</f>
        <v>Book</v>
      </c>
      <c r="F203" s="12" t="str">
        <f ca="1">IFERROR(__xludf.DUMMYFUNCTION("""COMPUTED_VALUE"""),"Understanding Mankind")</f>
        <v>Understanding Mankind</v>
      </c>
      <c r="G203" s="12"/>
      <c r="H203" s="12"/>
      <c r="I203" s="12"/>
      <c r="J203" s="12" t="str">
        <f ca="1">IFERROR(__xludf.DUMMYFUNCTION("""COMPUTED_VALUE"""),"Counseling")</f>
        <v>Counseling</v>
      </c>
      <c r="K203" s="13">
        <f ca="1">IFERROR(__xludf.DUMMYFUNCTION("""COMPUTED_VALUE"""),43095)</f>
        <v>43095</v>
      </c>
      <c r="L203" s="12"/>
      <c r="M203" s="12"/>
      <c r="N203" s="12" t="str">
        <f ca="1">IFERROR(__xludf.DUMMYFUNCTION("""COMPUTED_VALUE"""),"Table1")</f>
        <v>Table1</v>
      </c>
    </row>
    <row r="204" spans="1:14" ht="15.75" customHeight="1" x14ac:dyDescent="0.35">
      <c r="A204" s="12" t="str">
        <f ca="1">IFERROR(__xludf.DUMMYFUNCTION("""COMPUTED_VALUE"""),"Emlet, Michael R.")</f>
        <v>Emlet, Michael R.</v>
      </c>
      <c r="B204" s="12" t="str">
        <f ca="1">IFERROR(__xludf.DUMMYFUNCTION("""COMPUTED_VALUE""")," Michael R. Emlet")</f>
        <v xml:space="preserve"> Michael R. Emlet</v>
      </c>
      <c r="C204" s="12" t="str">
        <f ca="1">IFERROR(__xludf.DUMMYFUNCTION("""COMPUTED_VALUE"""),"Saints, Sufferers, and Sinners: Loving Others as God Loves Us")</f>
        <v>Saints, Sufferers, and Sinners: Loving Others as God Loves Us</v>
      </c>
      <c r="D204" s="4"/>
      <c r="E204" s="12" t="str">
        <f ca="1">IFERROR(__xludf.DUMMYFUNCTION("""COMPUTED_VALUE"""),"Book")</f>
        <v>Book</v>
      </c>
      <c r="F204" s="12" t="str">
        <f ca="1">IFERROR(__xludf.DUMMYFUNCTION("""COMPUTED_VALUE"""),"Understanding Mankind")</f>
        <v>Understanding Mankind</v>
      </c>
      <c r="G204" s="12"/>
      <c r="H204" s="12"/>
      <c r="I204" s="12"/>
      <c r="J204" s="12" t="str">
        <f ca="1">IFERROR(__xludf.DUMMYFUNCTION("""COMPUTED_VALUE"""),"Suffering, Relationships")</f>
        <v>Suffering, Relationships</v>
      </c>
      <c r="K204" s="13">
        <f ca="1">IFERROR(__xludf.DUMMYFUNCTION("""COMPUTED_VALUE"""),44240)</f>
        <v>44240</v>
      </c>
      <c r="L204" s="12"/>
      <c r="M204" s="12"/>
      <c r="N204" s="12" t="str">
        <f ca="1">IFERROR(__xludf.DUMMYFUNCTION("""COMPUTED_VALUE"""),"Table1")</f>
        <v>Table1</v>
      </c>
    </row>
    <row r="205" spans="1:14" ht="15.75" customHeight="1" x14ac:dyDescent="0.35">
      <c r="A205" s="12" t="str">
        <f ca="1">IFERROR(__xludf.DUMMYFUNCTION("""COMPUTED_VALUE"""),"Epp, Theodore H.")</f>
        <v>Epp, Theodore H.</v>
      </c>
      <c r="B205" s="12" t="str">
        <f ca="1">IFERROR(__xludf.DUMMYFUNCTION("""COMPUTED_VALUE""")," Theodore H. Epp")</f>
        <v xml:space="preserve"> Theodore H. Epp</v>
      </c>
      <c r="C205" s="12" t="str">
        <f ca="1">IFERROR(__xludf.DUMMYFUNCTION("""COMPUTED_VALUE"""),"Why Do Christians Suffer?")</f>
        <v>Why Do Christians Suffer?</v>
      </c>
      <c r="D205" s="4"/>
      <c r="E205" s="12" t="str">
        <f ca="1">IFERROR(__xludf.DUMMYFUNCTION("""COMPUTED_VALUE"""),"Book")</f>
        <v>Book</v>
      </c>
      <c r="F205" s="12" t="str">
        <f ca="1">IFERROR(__xludf.DUMMYFUNCTION("""COMPUTED_VALUE"""),"Discipleship")</f>
        <v>Discipleship</v>
      </c>
      <c r="G205" s="12"/>
      <c r="H205" s="12"/>
      <c r="I205" s="12"/>
      <c r="J205" s="12"/>
      <c r="K205" s="13">
        <f ca="1">IFERROR(__xludf.DUMMYFUNCTION("""COMPUTED_VALUE"""),43912)</f>
        <v>43912</v>
      </c>
      <c r="L205" s="12"/>
      <c r="M205" s="12"/>
      <c r="N205" s="12" t="str">
        <f ca="1">IFERROR(__xludf.DUMMYFUNCTION("""COMPUTED_VALUE"""),"Table1")</f>
        <v>Table1</v>
      </c>
    </row>
    <row r="206" spans="1:14" ht="15.75" customHeight="1" x14ac:dyDescent="0.35">
      <c r="A206" s="12" t="str">
        <f ca="1">IFERROR(__xludf.DUMMYFUNCTION("""COMPUTED_VALUE"""),"Erdmans")</f>
        <v>Erdmans</v>
      </c>
      <c r="B206" s="12" t="str">
        <f ca="1">IFERROR(__xludf.DUMMYFUNCTION("""COMPUTED_VALUE"""),"Erdmans")</f>
        <v>Erdmans</v>
      </c>
      <c r="C206" s="12" t="str">
        <f ca="1">IFERROR(__xludf.DUMMYFUNCTION("""COMPUTED_VALUE"""),"Dangerous Journey")</f>
        <v>Dangerous Journey</v>
      </c>
      <c r="D206" s="4"/>
      <c r="E206" s="12" t="str">
        <f ca="1">IFERROR(__xludf.DUMMYFUNCTION("""COMPUTED_VALUE"""),"Book")</f>
        <v>Book</v>
      </c>
      <c r="F206" s="12" t="str">
        <f ca="1">IFERROR(__xludf.DUMMYFUNCTION("""COMPUTED_VALUE"""),"Children")</f>
        <v>Children</v>
      </c>
      <c r="G206" s="12"/>
      <c r="H206" s="12"/>
      <c r="I206" s="12"/>
      <c r="J206" s="12"/>
      <c r="K206" s="13">
        <f ca="1">IFERROR(__xludf.DUMMYFUNCTION("""COMPUTED_VALUE"""),40674)</f>
        <v>40674</v>
      </c>
      <c r="L206" s="12"/>
      <c r="M206" s="12"/>
      <c r="N206" s="12" t="str">
        <f ca="1">IFERROR(__xludf.DUMMYFUNCTION("""COMPUTED_VALUE"""),"Table1")</f>
        <v>Table1</v>
      </c>
    </row>
    <row r="207" spans="1:14" ht="15.75" customHeight="1" x14ac:dyDescent="0.35">
      <c r="A207" s="12" t="str">
        <f ca="1">IFERROR(__xludf.DUMMYFUNCTION("""COMPUTED_VALUE"""),"Erickson, Millard J.")</f>
        <v>Erickson, Millard J.</v>
      </c>
      <c r="B207" s="12" t="str">
        <f ca="1">IFERROR(__xludf.DUMMYFUNCTION("""COMPUTED_VALUE""")," Millard J. Erickson")</f>
        <v xml:space="preserve"> Millard J. Erickson</v>
      </c>
      <c r="C207" s="12" t="str">
        <f ca="1">IFERROR(__xludf.DUMMYFUNCTION("""COMPUTED_VALUE"""),"A Basic Guide to Eschatology")</f>
        <v>A Basic Guide to Eschatology</v>
      </c>
      <c r="D207" s="4"/>
      <c r="E207" s="12" t="str">
        <f ca="1">IFERROR(__xludf.DUMMYFUNCTION("""COMPUTED_VALUE"""),"Book")</f>
        <v>Book</v>
      </c>
      <c r="F207" s="12" t="str">
        <f ca="1">IFERROR(__xludf.DUMMYFUNCTION("""COMPUTED_VALUE"""),"Eschatology")</f>
        <v>Eschatology</v>
      </c>
      <c r="G207" s="12"/>
      <c r="H207" s="12"/>
      <c r="I207" s="12"/>
      <c r="J207" s="12"/>
      <c r="K207" s="13">
        <f ca="1">IFERROR(__xludf.DUMMYFUNCTION("""COMPUTED_VALUE"""),40034)</f>
        <v>40034</v>
      </c>
      <c r="L207" s="12"/>
      <c r="M207" s="12"/>
      <c r="N207" s="12" t="str">
        <f ca="1">IFERROR(__xludf.DUMMYFUNCTION("""COMPUTED_VALUE"""),"Table1")</f>
        <v>Table1</v>
      </c>
    </row>
    <row r="208" spans="1:14" ht="15.75" customHeight="1" x14ac:dyDescent="0.35">
      <c r="A208" s="12" t="str">
        <f ca="1">IFERROR(__xludf.DUMMYFUNCTION("""COMPUTED_VALUE"""),"Erickson, Millard J.")</f>
        <v>Erickson, Millard J.</v>
      </c>
      <c r="B208" s="12" t="str">
        <f ca="1">IFERROR(__xludf.DUMMYFUNCTION("""COMPUTED_VALUE""")," Millard J. Erickson")</f>
        <v xml:space="preserve"> Millard J. Erickson</v>
      </c>
      <c r="C208" s="12" t="str">
        <f ca="1">IFERROR(__xludf.DUMMYFUNCTION("""COMPUTED_VALUE"""),"Christian Theology")</f>
        <v>Christian Theology</v>
      </c>
      <c r="D208" s="4"/>
      <c r="E208" s="12" t="str">
        <f ca="1">IFERROR(__xludf.DUMMYFUNCTION("""COMPUTED_VALUE"""),"Book")</f>
        <v>Book</v>
      </c>
      <c r="F208" s="12" t="str">
        <f ca="1">IFERROR(__xludf.DUMMYFUNCTION("""COMPUTED_VALUE"""),"Reference")</f>
        <v>Reference</v>
      </c>
      <c r="G208" s="12"/>
      <c r="H208" s="12"/>
      <c r="I208" s="12"/>
      <c r="J208" s="12"/>
      <c r="K208" s="13">
        <f ca="1">IFERROR(__xludf.DUMMYFUNCTION("""COMPUTED_VALUE"""),40034)</f>
        <v>40034</v>
      </c>
      <c r="L208" s="12"/>
      <c r="M208" s="12"/>
      <c r="N208" s="12" t="str">
        <f ca="1">IFERROR(__xludf.DUMMYFUNCTION("""COMPUTED_VALUE"""),"Table1")</f>
        <v>Table1</v>
      </c>
    </row>
    <row r="209" spans="1:14" ht="15.75" customHeight="1" x14ac:dyDescent="0.35">
      <c r="A209" s="12" t="str">
        <f ca="1">IFERROR(__xludf.DUMMYFUNCTION("""COMPUTED_VALUE"""),"Farenhorst, Christine")</f>
        <v>Farenhorst, Christine</v>
      </c>
      <c r="B209" s="12" t="str">
        <f ca="1">IFERROR(__xludf.DUMMYFUNCTION("""COMPUTED_VALUE""")," Christine Farenhorst")</f>
        <v xml:space="preserve"> Christine Farenhorst</v>
      </c>
      <c r="C209" s="12" t="str">
        <f ca="1">IFERROR(__xludf.DUMMYFUNCTION("""COMPUTED_VALUE"""),"Wings Like a Dove: Courage of Queen Jeanne D'Albret")</f>
        <v>Wings Like a Dove: Courage of Queen Jeanne D'Albret</v>
      </c>
      <c r="D209" s="4"/>
      <c r="E209" s="12" t="str">
        <f ca="1">IFERROR(__xludf.DUMMYFUNCTION("""COMPUTED_VALUE"""),"Book")</f>
        <v>Book</v>
      </c>
      <c r="F209" s="12" t="str">
        <f ca="1">IFERROR(__xludf.DUMMYFUNCTION("""COMPUTED_VALUE"""),"Children")</f>
        <v>Children</v>
      </c>
      <c r="G209" s="12"/>
      <c r="H209" s="12"/>
      <c r="I209" s="12"/>
      <c r="J209" s="12"/>
      <c r="K209" s="13">
        <f ca="1">IFERROR(__xludf.DUMMYFUNCTION("""COMPUTED_VALUE"""),41468)</f>
        <v>41468</v>
      </c>
      <c r="L209" s="12"/>
      <c r="M209" s="12"/>
      <c r="N209" s="12" t="str">
        <f ca="1">IFERROR(__xludf.DUMMYFUNCTION("""COMPUTED_VALUE"""),"Table1")</f>
        <v>Table1</v>
      </c>
    </row>
    <row r="210" spans="1:14" ht="15.75" customHeight="1" x14ac:dyDescent="0.35">
      <c r="A210" s="12" t="str">
        <f ca="1">IFERROR(__xludf.DUMMYFUNCTION("""COMPUTED_VALUE"""),"Farley, William P.")</f>
        <v>Farley, William P.</v>
      </c>
      <c r="B210" s="12" t="str">
        <f ca="1">IFERROR(__xludf.DUMMYFUNCTION("""COMPUTED_VALUE""")," William P. Farley")</f>
        <v xml:space="preserve"> William P. Farley</v>
      </c>
      <c r="C210" s="12" t="str">
        <f ca="1">IFERROR(__xludf.DUMMYFUNCTION("""COMPUTED_VALUE"""),"Gospel-Powered Parenting: How the Gospel Shapes and Transforms Parenting")</f>
        <v>Gospel-Powered Parenting: How the Gospel Shapes and Transforms Parenting</v>
      </c>
      <c r="D210" s="4"/>
      <c r="E210" s="12" t="str">
        <f ca="1">IFERROR(__xludf.DUMMYFUNCTION("""COMPUTED_VALUE"""),"Book")</f>
        <v>Book</v>
      </c>
      <c r="F210" s="12" t="str">
        <f ca="1">IFERROR(__xludf.DUMMYFUNCTION("""COMPUTED_VALUE"""),"Understanding Mankind")</f>
        <v>Understanding Mankind</v>
      </c>
      <c r="G210" s="12"/>
      <c r="H210" s="12"/>
      <c r="I210" s="12" t="str">
        <f ca="1">IFERROR(__xludf.DUMMYFUNCTION("""COMPUTED_VALUE"""),"Parenting")</f>
        <v>Parenting</v>
      </c>
      <c r="J210" s="12" t="str">
        <f ca="1">IFERROR(__xludf.DUMMYFUNCTION("""COMPUTED_VALUE"""),"Parenting")</f>
        <v>Parenting</v>
      </c>
      <c r="K210" s="13">
        <f ca="1">IFERROR(__xludf.DUMMYFUNCTION("""COMPUTED_VALUE"""),40705)</f>
        <v>40705</v>
      </c>
      <c r="L210" s="12"/>
      <c r="M210" s="12"/>
      <c r="N210" s="12" t="str">
        <f ca="1">IFERROR(__xludf.DUMMYFUNCTION("""COMPUTED_VALUE"""),"Table1")</f>
        <v>Table1</v>
      </c>
    </row>
    <row r="211" spans="1:14" ht="15.75" customHeight="1" x14ac:dyDescent="0.35">
      <c r="A211" s="12" t="str">
        <f ca="1">IFERROR(__xludf.DUMMYFUNCTION("""COMPUTED_VALUE"""),"Farley, William P.")</f>
        <v>Farley, William P.</v>
      </c>
      <c r="B211" s="12" t="str">
        <f ca="1">IFERROR(__xludf.DUMMYFUNCTION("""COMPUTED_VALUE""")," William P. Farley")</f>
        <v xml:space="preserve"> William P. Farley</v>
      </c>
      <c r="C211" s="12" t="str">
        <f ca="1">IFERROR(__xludf.DUMMYFUNCTION("""COMPUTED_VALUE"""),"Hidden in the Gospel: Truths You Forget to Tell Yourself Every Day")</f>
        <v>Hidden in the Gospel: Truths You Forget to Tell Yourself Every Day</v>
      </c>
      <c r="D211" s="4"/>
      <c r="E211" s="12" t="str">
        <f ca="1">IFERROR(__xludf.DUMMYFUNCTION("""COMPUTED_VALUE"""),"Book")</f>
        <v>Book</v>
      </c>
      <c r="F211" s="12" t="str">
        <f ca="1">IFERROR(__xludf.DUMMYFUNCTION("""COMPUTED_VALUE"""),"Theology")</f>
        <v>Theology</v>
      </c>
      <c r="G211" s="12"/>
      <c r="H211" s="12"/>
      <c r="I211" s="12"/>
      <c r="J211" s="12" t="str">
        <f ca="1">IFERROR(__xludf.DUMMYFUNCTION("""COMPUTED_VALUE"""),"Gospel")</f>
        <v>Gospel</v>
      </c>
      <c r="K211" s="13">
        <f ca="1">IFERROR(__xludf.DUMMYFUNCTION("""COMPUTED_VALUE"""),42139)</f>
        <v>42139</v>
      </c>
      <c r="L211" s="12"/>
      <c r="M211" s="12"/>
      <c r="N211" s="12" t="str">
        <f ca="1">IFERROR(__xludf.DUMMYFUNCTION("""COMPUTED_VALUE"""),"Table1")</f>
        <v>Table1</v>
      </c>
    </row>
    <row r="212" spans="1:14" ht="15.75" customHeight="1" x14ac:dyDescent="0.35">
      <c r="A212" s="12" t="str">
        <f ca="1">IFERROR(__xludf.DUMMYFUNCTION("""COMPUTED_VALUE"""),"Farnes, Catherine")</f>
        <v>Farnes, Catherine</v>
      </c>
      <c r="B212" s="12" t="str">
        <f ca="1">IFERROR(__xludf.DUMMYFUNCTION("""COMPUTED_VALUE""")," Catherine Farnes")</f>
        <v xml:space="preserve"> Catherine Farnes</v>
      </c>
      <c r="C212" s="12" t="str">
        <f ca="1">IFERROR(__xludf.DUMMYFUNCTION("""COMPUTED_VALUE"""),"Over the Divide")</f>
        <v>Over the Divide</v>
      </c>
      <c r="D212" s="4"/>
      <c r="E212" s="12" t="str">
        <f ca="1">IFERROR(__xludf.DUMMYFUNCTION("""COMPUTED_VALUE"""),"Book")</f>
        <v>Book</v>
      </c>
      <c r="F212" s="12" t="str">
        <f ca="1">IFERROR(__xludf.DUMMYFUNCTION("""COMPUTED_VALUE"""),"Children")</f>
        <v>Children</v>
      </c>
      <c r="G212" s="12"/>
      <c r="H212" s="12"/>
      <c r="I212" s="12"/>
      <c r="J212" s="12"/>
      <c r="K212" s="13">
        <f ca="1">IFERROR(__xludf.DUMMYFUNCTION("""COMPUTED_VALUE"""),41287)</f>
        <v>41287</v>
      </c>
      <c r="L212" s="12"/>
      <c r="M212" s="12"/>
      <c r="N212" s="12" t="str">
        <f ca="1">IFERROR(__xludf.DUMMYFUNCTION("""COMPUTED_VALUE"""),"Table1")</f>
        <v>Table1</v>
      </c>
    </row>
    <row r="213" spans="1:14" ht="15.75" customHeight="1" x14ac:dyDescent="0.35">
      <c r="A213" s="12" t="str">
        <f ca="1">IFERROR(__xludf.DUMMYFUNCTION("""COMPUTED_VALUE"""),"Farnes, Catherine")</f>
        <v>Farnes, Catherine</v>
      </c>
      <c r="B213" s="12" t="str">
        <f ca="1">IFERROR(__xludf.DUMMYFUNCTION("""COMPUTED_VALUE""")," Catherine Farnes")</f>
        <v xml:space="preserve"> Catherine Farnes</v>
      </c>
      <c r="C213" s="12" t="str">
        <f ca="1">IFERROR(__xludf.DUMMYFUNCTION("""COMPUTED_VALUE"""),"Slide, The")</f>
        <v>Slide, The</v>
      </c>
      <c r="D213" s="4"/>
      <c r="E213" s="12" t="str">
        <f ca="1">IFERROR(__xludf.DUMMYFUNCTION("""COMPUTED_VALUE"""),"Book")</f>
        <v>Book</v>
      </c>
      <c r="F213" s="12" t="str">
        <f ca="1">IFERROR(__xludf.DUMMYFUNCTION("""COMPUTED_VALUE"""),"Children")</f>
        <v>Children</v>
      </c>
      <c r="G213" s="12"/>
      <c r="H213" s="12"/>
      <c r="I213" s="12"/>
      <c r="J213" s="12"/>
      <c r="K213" s="13">
        <f ca="1">IFERROR(__xludf.DUMMYFUNCTION("""COMPUTED_VALUE"""),41164)</f>
        <v>41164</v>
      </c>
      <c r="L213" s="12"/>
      <c r="M213" s="12"/>
      <c r="N213" s="12" t="str">
        <f ca="1">IFERROR(__xludf.DUMMYFUNCTION("""COMPUTED_VALUE"""),"Table1")</f>
        <v>Table1</v>
      </c>
    </row>
    <row r="214" spans="1:14" ht="15.75" customHeight="1" x14ac:dyDescent="0.35">
      <c r="A214" s="12" t="str">
        <f ca="1">IFERROR(__xludf.DUMMYFUNCTION("""COMPUTED_VALUE"""),"Fee, Gordon")</f>
        <v>Fee, Gordon</v>
      </c>
      <c r="B214" s="12" t="str">
        <f ca="1">IFERROR(__xludf.DUMMYFUNCTION("""COMPUTED_VALUE""")," Gordon Fee")</f>
        <v xml:space="preserve"> Gordon Fee</v>
      </c>
      <c r="C214" s="12" t="str">
        <f ca="1">IFERROR(__xludf.DUMMYFUNCTION("""COMPUTED_VALUE"""),"How to Read the Bible for All It's Worth")</f>
        <v>How to Read the Bible for All It's Worth</v>
      </c>
      <c r="D214" s="4" t="str">
        <f ca="1">IFERROR(__xludf.DUMMYFUNCTION("""COMPUTED_VALUE"""),"Stuart")</f>
        <v>Stuart</v>
      </c>
      <c r="E214" s="12" t="str">
        <f ca="1">IFERROR(__xludf.DUMMYFUNCTION("""COMPUTED_VALUE"""),"Book")</f>
        <v>Book</v>
      </c>
      <c r="F214" s="12" t="str">
        <f ca="1">IFERROR(__xludf.DUMMYFUNCTION("""COMPUTED_VALUE"""),"Bible")</f>
        <v>Bible</v>
      </c>
      <c r="G214" s="12"/>
      <c r="H214" s="12"/>
      <c r="I214" s="12"/>
      <c r="J214" s="12"/>
      <c r="K214" s="13">
        <f ca="1">IFERROR(__xludf.DUMMYFUNCTION("""COMPUTED_VALUE"""),40034)</f>
        <v>40034</v>
      </c>
      <c r="L214" s="12"/>
      <c r="M214" s="12"/>
      <c r="N214" s="12" t="str">
        <f ca="1">IFERROR(__xludf.DUMMYFUNCTION("""COMPUTED_VALUE"""),"Table1")</f>
        <v>Table1</v>
      </c>
    </row>
    <row r="215" spans="1:14" ht="15.75" customHeight="1" x14ac:dyDescent="0.35">
      <c r="A215" s="12" t="str">
        <f ca="1">IFERROR(__xludf.DUMMYFUNCTION("""COMPUTED_VALUE"""),"Ferguson Sinclair B.")</f>
        <v>Ferguson Sinclair B.</v>
      </c>
      <c r="B215" s="12" t="str">
        <f ca="1">IFERROR(__xludf.DUMMYFUNCTION("""COMPUTED_VALUE"""),"Ferguson Sinclair B.")</f>
        <v>Ferguson Sinclair B.</v>
      </c>
      <c r="C215" s="12" t="str">
        <f ca="1">IFERROR(__xludf.DUMMYFUNCTION("""COMPUTED_VALUE"""),"The Christian Life: A Doctrinal Introduction")</f>
        <v>The Christian Life: A Doctrinal Introduction</v>
      </c>
      <c r="D215" s="4"/>
      <c r="E215" s="12" t="str">
        <f ca="1">IFERROR(__xludf.DUMMYFUNCTION("""COMPUTED_VALUE"""),"Book")</f>
        <v>Book</v>
      </c>
      <c r="F215" s="12" t="str">
        <f ca="1">IFERROR(__xludf.DUMMYFUNCTION("""COMPUTED_VALUE"""),"Theology")</f>
        <v>Theology</v>
      </c>
      <c r="G215" s="12"/>
      <c r="H215" s="12"/>
      <c r="I215" s="12"/>
      <c r="J215" s="12"/>
      <c r="K215" s="13">
        <f ca="1">IFERROR(__xludf.DUMMYFUNCTION("""COMPUTED_VALUE"""),40034)</f>
        <v>40034</v>
      </c>
      <c r="L215" s="12"/>
      <c r="M215" s="12"/>
      <c r="N215" s="12" t="str">
        <f ca="1">IFERROR(__xludf.DUMMYFUNCTION("""COMPUTED_VALUE"""),"Table1")</f>
        <v>Table1</v>
      </c>
    </row>
    <row r="216" spans="1:14" ht="15.75" customHeight="1" x14ac:dyDescent="0.35">
      <c r="A216" s="12" t="str">
        <f ca="1">IFERROR(__xludf.DUMMYFUNCTION("""COMPUTED_VALUE"""),"Ferguson Sinclair B.")</f>
        <v>Ferguson Sinclair B.</v>
      </c>
      <c r="B216" s="12" t="str">
        <f ca="1">IFERROR(__xludf.DUMMYFUNCTION("""COMPUTED_VALUE"""),"Ferguson Sinclair B.")</f>
        <v>Ferguson Sinclair B.</v>
      </c>
      <c r="C216" s="12" t="str">
        <f ca="1">IFERROR(__xludf.DUMMYFUNCTION("""COMPUTED_VALUE"""),"Deserted by God?")</f>
        <v>Deserted by God?</v>
      </c>
      <c r="D216" s="4"/>
      <c r="E216" s="12" t="str">
        <f ca="1">IFERROR(__xludf.DUMMYFUNCTION("""COMPUTED_VALUE"""),"Book")</f>
        <v>Book</v>
      </c>
      <c r="F216" s="12" t="str">
        <f ca="1">IFERROR(__xludf.DUMMYFUNCTION("""COMPUTED_VALUE"""),"Understanding Mankind")</f>
        <v>Understanding Mankind</v>
      </c>
      <c r="G216" s="12"/>
      <c r="H216" s="12"/>
      <c r="I216" s="12"/>
      <c r="J216" s="12" t="str">
        <f ca="1">IFERROR(__xludf.DUMMYFUNCTION("""COMPUTED_VALUE"""),"Counseling, Suffering")</f>
        <v>Counseling, Suffering</v>
      </c>
      <c r="K216" s="13">
        <f ca="1">IFERROR(__xludf.DUMMYFUNCTION("""COMPUTED_VALUE"""),40034)</f>
        <v>40034</v>
      </c>
      <c r="L216" s="12"/>
      <c r="M216" s="12"/>
      <c r="N216" s="12" t="str">
        <f ca="1">IFERROR(__xludf.DUMMYFUNCTION("""COMPUTED_VALUE"""),"Table1")</f>
        <v>Table1</v>
      </c>
    </row>
    <row r="217" spans="1:14" ht="15.75" customHeight="1" x14ac:dyDescent="0.35">
      <c r="A217" s="12" t="str">
        <f ca="1">IFERROR(__xludf.DUMMYFUNCTION("""COMPUTED_VALUE"""),"Ferguson Sinclair B.")</f>
        <v>Ferguson Sinclair B.</v>
      </c>
      <c r="B217" s="12" t="str">
        <f ca="1">IFERROR(__xludf.DUMMYFUNCTION("""COMPUTED_VALUE"""),"Ferguson Sinclair B.")</f>
        <v>Ferguson Sinclair B.</v>
      </c>
      <c r="C217" s="12" t="str">
        <f ca="1">IFERROR(__xludf.DUMMYFUNCTION("""COMPUTED_VALUE"""),"Devoted to God")</f>
        <v>Devoted to God</v>
      </c>
      <c r="D217" s="4"/>
      <c r="E217" s="12" t="str">
        <f ca="1">IFERROR(__xludf.DUMMYFUNCTION("""COMPUTED_VALUE"""),"Book")</f>
        <v>Book</v>
      </c>
      <c r="F217" s="12" t="str">
        <f ca="1">IFERROR(__xludf.DUMMYFUNCTION("""COMPUTED_VALUE"""),"Discipleship")</f>
        <v>Discipleship</v>
      </c>
      <c r="G217" s="12"/>
      <c r="H217" s="12"/>
      <c r="I217" s="12"/>
      <c r="J217" s="12"/>
      <c r="K217" s="13">
        <f ca="1">IFERROR(__xludf.DUMMYFUNCTION("""COMPUTED_VALUE"""),42705)</f>
        <v>42705</v>
      </c>
      <c r="L217" s="12"/>
      <c r="M217" s="12"/>
      <c r="N217" s="12" t="str">
        <f ca="1">IFERROR(__xludf.DUMMYFUNCTION("""COMPUTED_VALUE"""),"Table1")</f>
        <v>Table1</v>
      </c>
    </row>
    <row r="218" spans="1:14" ht="15.75" customHeight="1" x14ac:dyDescent="0.35">
      <c r="A218" s="12" t="str">
        <f ca="1">IFERROR(__xludf.DUMMYFUNCTION("""COMPUTED_VALUE"""),"Ferguson Sinclair B.")</f>
        <v>Ferguson Sinclair B.</v>
      </c>
      <c r="B218" s="12" t="str">
        <f ca="1">IFERROR(__xludf.DUMMYFUNCTION("""COMPUTED_VALUE"""),"Ferguson Sinclair B.")</f>
        <v>Ferguson Sinclair B.</v>
      </c>
      <c r="C218" s="12" t="str">
        <f ca="1">IFERROR(__xludf.DUMMYFUNCTION("""COMPUTED_VALUE"""),"Discovering God's Will")</f>
        <v>Discovering God's Will</v>
      </c>
      <c r="D218" s="4"/>
      <c r="E218" s="12" t="str">
        <f ca="1">IFERROR(__xludf.DUMMYFUNCTION("""COMPUTED_VALUE"""),"Book")</f>
        <v>Book</v>
      </c>
      <c r="F218" s="12" t="str">
        <f ca="1">IFERROR(__xludf.DUMMYFUNCTION("""COMPUTED_VALUE"""),"Discipleship")</f>
        <v>Discipleship</v>
      </c>
      <c r="G218" s="12"/>
      <c r="H218" s="12"/>
      <c r="I218" s="12"/>
      <c r="J218" s="12"/>
      <c r="K218" s="13">
        <f ca="1">IFERROR(__xludf.DUMMYFUNCTION("""COMPUTED_VALUE"""),40034)</f>
        <v>40034</v>
      </c>
      <c r="L218" s="12"/>
      <c r="M218" s="12"/>
      <c r="N218" s="12" t="str">
        <f ca="1">IFERROR(__xludf.DUMMYFUNCTION("""COMPUTED_VALUE"""),"Table1")</f>
        <v>Table1</v>
      </c>
    </row>
    <row r="219" spans="1:14" ht="15.75" customHeight="1" x14ac:dyDescent="0.35">
      <c r="A219" s="12" t="str">
        <f ca="1">IFERROR(__xludf.DUMMYFUNCTION("""COMPUTED_VALUE"""),"Ferguson Sinclair B.")</f>
        <v>Ferguson Sinclair B.</v>
      </c>
      <c r="B219" s="12" t="str">
        <f ca="1">IFERROR(__xludf.DUMMYFUNCTION("""COMPUTED_VALUE"""),"Ferguson Sinclair B.")</f>
        <v>Ferguson Sinclair B.</v>
      </c>
      <c r="C219" s="12" t="str">
        <f ca="1">IFERROR(__xludf.DUMMYFUNCTION("""COMPUTED_VALUE"""),"The Grace of Repentance")</f>
        <v>The Grace of Repentance</v>
      </c>
      <c r="D219" s="4"/>
      <c r="E219" s="12" t="str">
        <f ca="1">IFERROR(__xludf.DUMMYFUNCTION("""COMPUTED_VALUE"""),"Book")</f>
        <v>Book</v>
      </c>
      <c r="F219" s="12" t="str">
        <f ca="1">IFERROR(__xludf.DUMMYFUNCTION("""COMPUTED_VALUE"""),"Discipleship")</f>
        <v>Discipleship</v>
      </c>
      <c r="G219" s="12"/>
      <c r="H219" s="12"/>
      <c r="I219" s="12"/>
      <c r="J219" s="12"/>
      <c r="K219" s="13">
        <f ca="1">IFERROR(__xludf.DUMMYFUNCTION("""COMPUTED_VALUE"""),43988)</f>
        <v>43988</v>
      </c>
      <c r="L219" s="12"/>
      <c r="M219" s="12"/>
      <c r="N219" s="12" t="str">
        <f ca="1">IFERROR(__xludf.DUMMYFUNCTION("""COMPUTED_VALUE"""),"Table1")</f>
        <v>Table1</v>
      </c>
    </row>
    <row r="220" spans="1:14" ht="15.75" customHeight="1" x14ac:dyDescent="0.35">
      <c r="A220" s="12" t="str">
        <f ca="1">IFERROR(__xludf.DUMMYFUNCTION("""COMPUTED_VALUE"""),"Ferguson Sinclair B.")</f>
        <v>Ferguson Sinclair B.</v>
      </c>
      <c r="B220" s="12" t="str">
        <f ca="1">IFERROR(__xludf.DUMMYFUNCTION("""COMPUTED_VALUE"""),"Ferguson Sinclair B.")</f>
        <v>Ferguson Sinclair B.</v>
      </c>
      <c r="C220" s="12" t="str">
        <f ca="1">IFERROR(__xludf.DUMMYFUNCTION("""COMPUTED_VALUE"""),"Ignatius of Antioch")</f>
        <v>Ignatius of Antioch</v>
      </c>
      <c r="D220" s="4"/>
      <c r="E220" s="12" t="str">
        <f ca="1">IFERROR(__xludf.DUMMYFUNCTION("""COMPUTED_VALUE"""),"Book")</f>
        <v>Book</v>
      </c>
      <c r="F220" s="12" t="str">
        <f ca="1">IFERROR(__xludf.DUMMYFUNCTION("""COMPUTED_VALUE"""),"Children")</f>
        <v>Children</v>
      </c>
      <c r="G220" s="12"/>
      <c r="H220" s="12"/>
      <c r="I220" s="12"/>
      <c r="J220" s="12"/>
      <c r="K220" s="13">
        <f ca="1">IFERROR(__xludf.DUMMYFUNCTION("""COMPUTED_VALUE"""),42693)</f>
        <v>42693</v>
      </c>
      <c r="L220" s="12"/>
      <c r="M220" s="12"/>
      <c r="N220" s="12" t="str">
        <f ca="1">IFERROR(__xludf.DUMMYFUNCTION("""COMPUTED_VALUE"""),"Table1")</f>
        <v>Table1</v>
      </c>
    </row>
    <row r="221" spans="1:14" ht="15.75" customHeight="1" x14ac:dyDescent="0.35">
      <c r="A221" s="12" t="str">
        <f ca="1">IFERROR(__xludf.DUMMYFUNCTION("""COMPUTED_VALUE"""),"Ferguson Sinclair B.")</f>
        <v>Ferguson Sinclair B.</v>
      </c>
      <c r="B221" s="12" t="str">
        <f ca="1">IFERROR(__xludf.DUMMYFUNCTION("""COMPUTED_VALUE"""),"Ferguson Sinclair B.")</f>
        <v>Ferguson Sinclair B.</v>
      </c>
      <c r="C221" s="12" t="str">
        <f ca="1">IFERROR(__xludf.DUMMYFUNCTION("""COMPUTED_VALUE"""),"Irenaeus of Lyons")</f>
        <v>Irenaeus of Lyons</v>
      </c>
      <c r="D221" s="12"/>
      <c r="E221" s="12" t="str">
        <f ca="1">IFERROR(__xludf.DUMMYFUNCTION("""COMPUTED_VALUE"""),"Book")</f>
        <v>Book</v>
      </c>
      <c r="F221" s="12" t="str">
        <f ca="1">IFERROR(__xludf.DUMMYFUNCTION("""COMPUTED_VALUE"""),"Children")</f>
        <v>Children</v>
      </c>
      <c r="G221" s="12"/>
      <c r="H221" s="12"/>
      <c r="I221" s="12"/>
      <c r="J221" s="12"/>
      <c r="K221" s="13">
        <f ca="1">IFERROR(__xludf.DUMMYFUNCTION("""COMPUTED_VALUE"""),42693)</f>
        <v>42693</v>
      </c>
      <c r="L221" s="12"/>
      <c r="M221" s="12"/>
      <c r="N221" s="12" t="str">
        <f ca="1">IFERROR(__xludf.DUMMYFUNCTION("""COMPUTED_VALUE"""),"Table1")</f>
        <v>Table1</v>
      </c>
    </row>
    <row r="222" spans="1:14" ht="15.75" customHeight="1" x14ac:dyDescent="0.35">
      <c r="A222" s="12" t="str">
        <f ca="1">IFERROR(__xludf.DUMMYFUNCTION("""COMPUTED_VALUE"""),"Ferguson Sinclair B.")</f>
        <v>Ferguson Sinclair B.</v>
      </c>
      <c r="B222" s="12" t="str">
        <f ca="1">IFERROR(__xludf.DUMMYFUNCTION("""COMPUTED_VALUE"""),"Ferguson Sinclair B.")</f>
        <v>Ferguson Sinclair B.</v>
      </c>
      <c r="C222" s="12" t="str">
        <f ca="1">IFERROR(__xludf.DUMMYFUNCTION("""COMPUTED_VALUE"""),"Jesus Teaches Us How to Be Good")</f>
        <v>Jesus Teaches Us How to Be Good</v>
      </c>
      <c r="D222" s="12"/>
      <c r="E222" s="12" t="str">
        <f ca="1">IFERROR(__xludf.DUMMYFUNCTION("""COMPUTED_VALUE"""),"Book")</f>
        <v>Book</v>
      </c>
      <c r="F222" s="12" t="str">
        <f ca="1">IFERROR(__xludf.DUMMYFUNCTION("""COMPUTED_VALUE"""),"Children")</f>
        <v>Children</v>
      </c>
      <c r="G222" s="12"/>
      <c r="H222" s="12"/>
      <c r="I222" s="12"/>
      <c r="J222" s="12"/>
      <c r="K222" s="13">
        <f ca="1">IFERROR(__xludf.DUMMYFUNCTION("""COMPUTED_VALUE"""),40034)</f>
        <v>40034</v>
      </c>
      <c r="L222" s="12" t="str">
        <f ca="1">IFERROR(__xludf.DUMMYFUNCTION("""COMPUTED_VALUE"""),"Missing as of February 2020")</f>
        <v>Missing as of February 2020</v>
      </c>
      <c r="M222" s="12"/>
      <c r="N222" s="12" t="str">
        <f ca="1">IFERROR(__xludf.DUMMYFUNCTION("""COMPUTED_VALUE"""),"Table1")</f>
        <v>Table1</v>
      </c>
    </row>
    <row r="223" spans="1:14" ht="15.75" customHeight="1" x14ac:dyDescent="0.35">
      <c r="A223" s="12" t="str">
        <f ca="1">IFERROR(__xludf.DUMMYFUNCTION("""COMPUTED_VALUE"""),"Ferguson Sinclair B.")</f>
        <v>Ferguson Sinclair B.</v>
      </c>
      <c r="B223" s="12" t="str">
        <f ca="1">IFERROR(__xludf.DUMMYFUNCTION("""COMPUTED_VALUE"""),"Ferguson Sinclair B.")</f>
        <v>Ferguson Sinclair B.</v>
      </c>
      <c r="C223" s="12" t="str">
        <f ca="1">IFERROR(__xludf.DUMMYFUNCTION("""COMPUTED_VALUE"""),"Jesus Teaches Us How to Be Happy")</f>
        <v>Jesus Teaches Us How to Be Happy</v>
      </c>
      <c r="D223" s="12"/>
      <c r="E223" s="12" t="str">
        <f ca="1">IFERROR(__xludf.DUMMYFUNCTION("""COMPUTED_VALUE"""),"Book")</f>
        <v>Book</v>
      </c>
      <c r="F223" s="12" t="str">
        <f ca="1">IFERROR(__xludf.DUMMYFUNCTION("""COMPUTED_VALUE"""),"Children")</f>
        <v>Children</v>
      </c>
      <c r="G223" s="12"/>
      <c r="H223" s="12"/>
      <c r="I223" s="12"/>
      <c r="J223" s="12"/>
      <c r="K223" s="13">
        <f ca="1">IFERROR(__xludf.DUMMYFUNCTION("""COMPUTED_VALUE"""),40034)</f>
        <v>40034</v>
      </c>
      <c r="L223" s="12"/>
      <c r="M223" s="12"/>
      <c r="N223" s="12" t="str">
        <f ca="1">IFERROR(__xludf.DUMMYFUNCTION("""COMPUTED_VALUE"""),"Table1")</f>
        <v>Table1</v>
      </c>
    </row>
    <row r="224" spans="1:14" ht="15.75" customHeight="1" x14ac:dyDescent="0.35">
      <c r="A224" s="12" t="str">
        <f ca="1">IFERROR(__xludf.DUMMYFUNCTION("""COMPUTED_VALUE"""),"Ferguson Sinclair B.")</f>
        <v>Ferguson Sinclair B.</v>
      </c>
      <c r="B224" s="12" t="str">
        <f ca="1">IFERROR(__xludf.DUMMYFUNCTION("""COMPUTED_VALUE"""),"Ferguson Sinclair B.")</f>
        <v>Ferguson Sinclair B.</v>
      </c>
      <c r="C224" s="12" t="str">
        <f ca="1">IFERROR(__xludf.DUMMYFUNCTION("""COMPUTED_VALUE"""),"Jesus Teaches Us How to Be Wise")</f>
        <v>Jesus Teaches Us How to Be Wise</v>
      </c>
      <c r="D224" s="12"/>
      <c r="E224" s="12" t="str">
        <f ca="1">IFERROR(__xludf.DUMMYFUNCTION("""COMPUTED_VALUE"""),"Book")</f>
        <v>Book</v>
      </c>
      <c r="F224" s="12" t="str">
        <f ca="1">IFERROR(__xludf.DUMMYFUNCTION("""COMPUTED_VALUE"""),"Children")</f>
        <v>Children</v>
      </c>
      <c r="G224" s="12"/>
      <c r="H224" s="12"/>
      <c r="I224" s="12"/>
      <c r="J224" s="12"/>
      <c r="K224" s="13">
        <f ca="1">IFERROR(__xludf.DUMMYFUNCTION("""COMPUTED_VALUE"""),40034)</f>
        <v>40034</v>
      </c>
      <c r="L224" s="12"/>
      <c r="M224" s="12"/>
      <c r="N224" s="12" t="str">
        <f ca="1">IFERROR(__xludf.DUMMYFUNCTION("""COMPUTED_VALUE"""),"Table1")</f>
        <v>Table1</v>
      </c>
    </row>
    <row r="225" spans="1:14" ht="15.75" customHeight="1" x14ac:dyDescent="0.35">
      <c r="A225" s="12" t="str">
        <f ca="1">IFERROR(__xludf.DUMMYFUNCTION("""COMPUTED_VALUE"""),"Ferguson Sinclair B.")</f>
        <v>Ferguson Sinclair B.</v>
      </c>
      <c r="B225" s="12" t="str">
        <f ca="1">IFERROR(__xludf.DUMMYFUNCTION("""COMPUTED_VALUE"""),"Ferguson Sinclair B.")</f>
        <v>Ferguson Sinclair B.</v>
      </c>
      <c r="C225" s="12" t="str">
        <f ca="1">IFERROR(__xludf.DUMMYFUNCTION("""COMPUTED_VALUE"""),"Jesus Teaches Us How to Pray")</f>
        <v>Jesus Teaches Us How to Pray</v>
      </c>
      <c r="D225" s="12"/>
      <c r="E225" s="12" t="str">
        <f ca="1">IFERROR(__xludf.DUMMYFUNCTION("""COMPUTED_VALUE"""),"Book")</f>
        <v>Book</v>
      </c>
      <c r="F225" s="12" t="str">
        <f ca="1">IFERROR(__xludf.DUMMYFUNCTION("""COMPUTED_VALUE"""),"Children")</f>
        <v>Children</v>
      </c>
      <c r="G225" s="12"/>
      <c r="H225" s="12"/>
      <c r="I225" s="12"/>
      <c r="J225" s="12"/>
      <c r="K225" s="13">
        <f ca="1">IFERROR(__xludf.DUMMYFUNCTION("""COMPUTED_VALUE"""),40034)</f>
        <v>40034</v>
      </c>
      <c r="L225" s="12"/>
      <c r="M225" s="12"/>
      <c r="N225" s="12" t="str">
        <f ca="1">IFERROR(__xludf.DUMMYFUNCTION("""COMPUTED_VALUE"""),"Table1")</f>
        <v>Table1</v>
      </c>
    </row>
    <row r="226" spans="1:14" ht="15.75" customHeight="1" x14ac:dyDescent="0.35">
      <c r="A226" s="12" t="str">
        <f ca="1">IFERROR(__xludf.DUMMYFUNCTION("""COMPUTED_VALUE"""),"Ferguson Sinclair B.")</f>
        <v>Ferguson Sinclair B.</v>
      </c>
      <c r="B226" s="12" t="str">
        <f ca="1">IFERROR(__xludf.DUMMYFUNCTION("""COMPUTED_VALUE"""),"Ferguson Sinclair B.")</f>
        <v>Ferguson Sinclair B.</v>
      </c>
      <c r="C226" s="12" t="str">
        <f ca="1">IFERROR(__xludf.DUMMYFUNCTION("""COMPUTED_VALUE"""),"Maturity: Growing Up and Going on in the Christian Life")</f>
        <v>Maturity: Growing Up and Going on in the Christian Life</v>
      </c>
      <c r="D226" s="12"/>
      <c r="E226" s="12" t="str">
        <f ca="1">IFERROR(__xludf.DUMMYFUNCTION("""COMPUTED_VALUE"""),"Book")</f>
        <v>Book</v>
      </c>
      <c r="F226" s="12" t="str">
        <f ca="1">IFERROR(__xludf.DUMMYFUNCTION("""COMPUTED_VALUE"""),"Discipleship")</f>
        <v>Discipleship</v>
      </c>
      <c r="G226" s="12"/>
      <c r="H226" s="12"/>
      <c r="I226" s="12"/>
      <c r="J226" s="12"/>
      <c r="K226" s="13">
        <f ca="1">IFERROR(__xludf.DUMMYFUNCTION("""COMPUTED_VALUE"""),43818)</f>
        <v>43818</v>
      </c>
      <c r="L226" s="12"/>
      <c r="M226" s="12"/>
      <c r="N226" s="12" t="str">
        <f ca="1">IFERROR(__xludf.DUMMYFUNCTION("""COMPUTED_VALUE"""),"Table1")</f>
        <v>Table1</v>
      </c>
    </row>
    <row r="227" spans="1:14" ht="15.75" customHeight="1" x14ac:dyDescent="0.35">
      <c r="A227" s="12" t="str">
        <f ca="1">IFERROR(__xludf.DUMMYFUNCTION("""COMPUTED_VALUE"""),"Ferguson Sinclair B.")</f>
        <v>Ferguson Sinclair B.</v>
      </c>
      <c r="B227" s="12" t="str">
        <f ca="1">IFERROR(__xludf.DUMMYFUNCTION("""COMPUTED_VALUE"""),"Ferguson Sinclair B.")</f>
        <v>Ferguson Sinclair B.</v>
      </c>
      <c r="C227" s="12" t="str">
        <f ca="1">IFERROR(__xludf.DUMMYFUNCTION("""COMPUTED_VALUE"""),"Polycarp of Smyrna")</f>
        <v>Polycarp of Smyrna</v>
      </c>
      <c r="D227" s="12"/>
      <c r="E227" s="12" t="str">
        <f ca="1">IFERROR(__xludf.DUMMYFUNCTION("""COMPUTED_VALUE"""),"book")</f>
        <v>book</v>
      </c>
      <c r="F227" s="12" t="str">
        <f ca="1">IFERROR(__xludf.DUMMYFUNCTION("""COMPUTED_VALUE"""),"Children")</f>
        <v>Children</v>
      </c>
      <c r="G227" s="12"/>
      <c r="H227" s="12"/>
      <c r="I227" s="12"/>
      <c r="J227" s="12"/>
      <c r="K227" s="13">
        <f ca="1">IFERROR(__xludf.DUMMYFUNCTION("""COMPUTED_VALUE"""),42693)</f>
        <v>42693</v>
      </c>
      <c r="L227" s="12"/>
      <c r="M227" s="12"/>
      <c r="N227" s="12" t="str">
        <f ca="1">IFERROR(__xludf.DUMMYFUNCTION("""COMPUTED_VALUE"""),"Table1")</f>
        <v>Table1</v>
      </c>
    </row>
    <row r="228" spans="1:14" ht="15.75" customHeight="1" x14ac:dyDescent="0.35">
      <c r="A228" s="12" t="str">
        <f ca="1">IFERROR(__xludf.DUMMYFUNCTION("""COMPUTED_VALUE"""),"Ferguson, Sinclair B")</f>
        <v>Ferguson, Sinclair B</v>
      </c>
      <c r="B228" s="12" t="str">
        <f ca="1">IFERROR(__xludf.DUMMYFUNCTION("""COMPUTED_VALUE""")," Sinclair B Ferguson")</f>
        <v xml:space="preserve"> Sinclair B Ferguson</v>
      </c>
      <c r="C228" s="12" t="str">
        <f ca="1">IFERROR(__xludf.DUMMYFUNCTION("""COMPUTED_VALUE"""),"The Sermon on the Mount: Kingdom Life in a Fallen World")</f>
        <v>The Sermon on the Mount: Kingdom Life in a Fallen World</v>
      </c>
      <c r="D228" s="12"/>
      <c r="E228" s="12" t="str">
        <f ca="1">IFERROR(__xludf.DUMMYFUNCTION("""COMPUTED_VALUE"""),"Book")</f>
        <v>Book</v>
      </c>
      <c r="F228" s="12" t="str">
        <f ca="1">IFERROR(__xludf.DUMMYFUNCTION("""COMPUTED_VALUE"""),"Discipleship")</f>
        <v>Discipleship</v>
      </c>
      <c r="G228" s="12"/>
      <c r="H228" s="12"/>
      <c r="I228" s="12"/>
      <c r="J228" s="12"/>
      <c r="K228" s="13"/>
      <c r="L228" s="12"/>
      <c r="M228" s="12"/>
      <c r="N228" s="12" t="str">
        <f ca="1">IFERROR(__xludf.DUMMYFUNCTION("""COMPUTED_VALUE"""),"Table1")</f>
        <v>Table1</v>
      </c>
    </row>
    <row r="229" spans="1:14" ht="15.75" customHeight="1" x14ac:dyDescent="0.35">
      <c r="A229" s="12" t="str">
        <f ca="1">IFERROR(__xludf.DUMMYFUNCTION("""COMPUTED_VALUE"""),"Ferguson, Sinclair B.")</f>
        <v>Ferguson, Sinclair B.</v>
      </c>
      <c r="B229" s="12" t="str">
        <f ca="1">IFERROR(__xludf.DUMMYFUNCTION("""COMPUTED_VALUE""")," Sinclair B. Ferguson")</f>
        <v xml:space="preserve"> Sinclair B. Ferguson</v>
      </c>
      <c r="C229" s="12" t="str">
        <f ca="1">IFERROR(__xludf.DUMMYFUNCTION("""COMPUTED_VALUE"""),"The Big Book of Bible Truths, Part 2")</f>
        <v>The Big Book of Bible Truths, Part 2</v>
      </c>
      <c r="D229" s="12"/>
      <c r="E229" s="12" t="str">
        <f ca="1">IFERROR(__xludf.DUMMYFUNCTION("""COMPUTED_VALUE"""),"Book")</f>
        <v>Book</v>
      </c>
      <c r="F229" s="12" t="str">
        <f ca="1">IFERROR(__xludf.DUMMYFUNCTION("""COMPUTED_VALUE"""),"Children")</f>
        <v>Children</v>
      </c>
      <c r="G229" s="12"/>
      <c r="H229" s="12"/>
      <c r="I229" s="12"/>
      <c r="J229" s="12"/>
      <c r="K229" s="13">
        <f ca="1">IFERROR(__xludf.DUMMYFUNCTION("""COMPUTED_VALUE"""),42705)</f>
        <v>42705</v>
      </c>
      <c r="L229" s="12"/>
      <c r="M229" s="12"/>
      <c r="N229" s="12" t="str">
        <f ca="1">IFERROR(__xludf.DUMMYFUNCTION("""COMPUTED_VALUE"""),"Table1")</f>
        <v>Table1</v>
      </c>
    </row>
    <row r="230" spans="1:14" ht="15.75" customHeight="1" x14ac:dyDescent="0.35">
      <c r="A230" s="12" t="str">
        <f ca="1">IFERROR(__xludf.DUMMYFUNCTION("""COMPUTED_VALUE"""),"Ferguson, Sinclair B.")</f>
        <v>Ferguson, Sinclair B.</v>
      </c>
      <c r="B230" s="12" t="str">
        <f ca="1">IFERROR(__xludf.DUMMYFUNCTION("""COMPUTED_VALUE""")," Sinclair B. Ferguson")</f>
        <v xml:space="preserve"> Sinclair B. Ferguson</v>
      </c>
      <c r="C230" s="12" t="str">
        <f ca="1">IFERROR(__xludf.DUMMYFUNCTION("""COMPUTED_VALUE"""),"The Big Book of Questions and Answers About Jesus")</f>
        <v>The Big Book of Questions and Answers About Jesus</v>
      </c>
      <c r="D230" s="12"/>
      <c r="E230" s="12" t="str">
        <f ca="1">IFERROR(__xludf.DUMMYFUNCTION("""COMPUTED_VALUE"""),"Book")</f>
        <v>Book</v>
      </c>
      <c r="F230" s="12" t="str">
        <f ca="1">IFERROR(__xludf.DUMMYFUNCTION("""COMPUTED_VALUE"""),"Children")</f>
        <v>Children</v>
      </c>
      <c r="G230" s="12"/>
      <c r="H230" s="12"/>
      <c r="I230" s="12"/>
      <c r="J230" s="12"/>
      <c r="K230" s="13">
        <f ca="1">IFERROR(__xludf.DUMMYFUNCTION("""COMPUTED_VALUE"""),42705)</f>
        <v>42705</v>
      </c>
      <c r="L230" s="12"/>
      <c r="M230" s="12"/>
      <c r="N230" s="12" t="str">
        <f ca="1">IFERROR(__xludf.DUMMYFUNCTION("""COMPUTED_VALUE"""),"Table1")</f>
        <v>Table1</v>
      </c>
    </row>
    <row r="231" spans="1:14" ht="15.75" customHeight="1" x14ac:dyDescent="0.35">
      <c r="A231" s="12" t="str">
        <f ca="1">IFERROR(__xludf.DUMMYFUNCTION("""COMPUTED_VALUE"""),"Ferguson, Sinclair B.")</f>
        <v>Ferguson, Sinclair B.</v>
      </c>
      <c r="B231" s="12" t="str">
        <f ca="1">IFERROR(__xludf.DUMMYFUNCTION("""COMPUTED_VALUE""")," Sinclair B. Ferguson")</f>
        <v xml:space="preserve"> Sinclair B. Ferguson</v>
      </c>
      <c r="C231" s="12" t="str">
        <f ca="1">IFERROR(__xludf.DUMMYFUNCTION("""COMPUTED_VALUE"""),"The Big Book of Questions and Answers")</f>
        <v>The Big Book of Questions and Answers</v>
      </c>
      <c r="D231" s="12"/>
      <c r="E231" s="12" t="str">
        <f ca="1">IFERROR(__xludf.DUMMYFUNCTION("""COMPUTED_VALUE"""),"Book")</f>
        <v>Book</v>
      </c>
      <c r="F231" s="12" t="str">
        <f ca="1">IFERROR(__xludf.DUMMYFUNCTION("""COMPUTED_VALUE"""),"Children")</f>
        <v>Children</v>
      </c>
      <c r="G231" s="12"/>
      <c r="H231" s="12"/>
      <c r="I231" s="12"/>
      <c r="J231" s="12"/>
      <c r="K231" s="13">
        <f ca="1">IFERROR(__xludf.DUMMYFUNCTION("""COMPUTED_VALUE"""),42705)</f>
        <v>42705</v>
      </c>
      <c r="L231" s="12"/>
      <c r="M231" s="12"/>
      <c r="N231" s="12" t="str">
        <f ca="1">IFERROR(__xludf.DUMMYFUNCTION("""COMPUTED_VALUE"""),"Table1")</f>
        <v>Table1</v>
      </c>
    </row>
    <row r="232" spans="1:14" ht="15.75" customHeight="1" x14ac:dyDescent="0.35">
      <c r="A232" s="12" t="str">
        <f ca="1">IFERROR(__xludf.DUMMYFUNCTION("""COMPUTED_VALUE"""),"Ferguson, Sinclair B.")</f>
        <v>Ferguson, Sinclair B.</v>
      </c>
      <c r="B232" s="12" t="str">
        <f ca="1">IFERROR(__xludf.DUMMYFUNCTION("""COMPUTED_VALUE""")," Sinclair B. Ferguson")</f>
        <v xml:space="preserve"> Sinclair B. Ferguson</v>
      </c>
      <c r="C232" s="12" t="str">
        <f ca="1">IFERROR(__xludf.DUMMYFUNCTION("""COMPUTED_VALUE"""),"Devoted to God's Church: Core Values for Christian Fellowship")</f>
        <v>Devoted to God's Church: Core Values for Christian Fellowship</v>
      </c>
      <c r="D232" s="12"/>
      <c r="E232" s="12" t="str">
        <f ca="1">IFERROR(__xludf.DUMMYFUNCTION("""COMPUTED_VALUE"""),"Book")</f>
        <v>Book</v>
      </c>
      <c r="F232" s="12" t="str">
        <f ca="1">IFERROR(__xludf.DUMMYFUNCTION("""COMPUTED_VALUE"""),"Church")</f>
        <v>Church</v>
      </c>
      <c r="G232" s="12"/>
      <c r="H232" s="12"/>
      <c r="I232" s="12"/>
      <c r="J232" s="12" t="str">
        <f ca="1">IFERROR(__xludf.DUMMYFUNCTION("""COMPUTED_VALUE"""),"Fellowship")</f>
        <v>Fellowship</v>
      </c>
      <c r="K232" s="13">
        <f ca="1">IFERROR(__xludf.DUMMYFUNCTION("""COMPUTED_VALUE"""),44178)</f>
        <v>44178</v>
      </c>
      <c r="L232" s="12"/>
      <c r="M232" s="12"/>
      <c r="N232" s="12" t="str">
        <f ca="1">IFERROR(__xludf.DUMMYFUNCTION("""COMPUTED_VALUE"""),"Table1")</f>
        <v>Table1</v>
      </c>
    </row>
    <row r="233" spans="1:14" ht="15.75" customHeight="1" x14ac:dyDescent="0.35">
      <c r="A233" s="12" t="str">
        <f ca="1">IFERROR(__xludf.DUMMYFUNCTION("""COMPUTED_VALUE"""),"Ferguson, Sinclair B.")</f>
        <v>Ferguson, Sinclair B.</v>
      </c>
      <c r="B233" s="12" t="str">
        <f ca="1">IFERROR(__xludf.DUMMYFUNCTION("""COMPUTED_VALUE""")," Sinclair B. Ferguson")</f>
        <v xml:space="preserve"> Sinclair B. Ferguson</v>
      </c>
      <c r="C233" s="12" t="str">
        <f ca="1">IFERROR(__xludf.DUMMYFUNCTION("""COMPUTED_VALUE"""),"From the Mouth of God: Trusting, Reading, and Applying the Bible")</f>
        <v>From the Mouth of God: Trusting, Reading, and Applying the Bible</v>
      </c>
      <c r="D233" s="12"/>
      <c r="E233" s="12" t="str">
        <f ca="1">IFERROR(__xludf.DUMMYFUNCTION("""COMPUTED_VALUE"""),"Book")</f>
        <v>Book</v>
      </c>
      <c r="F233" s="12" t="str">
        <f ca="1">IFERROR(__xludf.DUMMYFUNCTION("""COMPUTED_VALUE"""),"Bible")</f>
        <v>Bible</v>
      </c>
      <c r="G233" s="12"/>
      <c r="H233" s="12"/>
      <c r="I233" s="12"/>
      <c r="J233" s="12"/>
      <c r="K233" s="13">
        <f ca="1">IFERROR(__xludf.DUMMYFUNCTION("""COMPUTED_VALUE"""),43815)</f>
        <v>43815</v>
      </c>
      <c r="L233" s="12"/>
      <c r="M233" s="12"/>
      <c r="N233" s="12" t="str">
        <f ca="1">IFERROR(__xludf.DUMMYFUNCTION("""COMPUTED_VALUE"""),"Table1")</f>
        <v>Table1</v>
      </c>
    </row>
    <row r="234" spans="1:14" ht="15.75" customHeight="1" x14ac:dyDescent="0.35">
      <c r="A234" s="12" t="str">
        <f ca="1">IFERROR(__xludf.DUMMYFUNCTION("""COMPUTED_VALUE"""),"Ferguson, Sinclair B.")</f>
        <v>Ferguson, Sinclair B.</v>
      </c>
      <c r="B234" s="12" t="str">
        <f ca="1">IFERROR(__xludf.DUMMYFUNCTION("""COMPUTED_VALUE""")," Sinclair B. Ferguson")</f>
        <v xml:space="preserve"> Sinclair B. Ferguson</v>
      </c>
      <c r="C234" s="12" t="str">
        <f ca="1">IFERROR(__xludf.DUMMYFUNCTION("""COMPUTED_VALUE"""),"TheWhole Christ: Legalism, Antinomianism, and Gospel Assurance--Why the Marrow Controversy Still Matters")</f>
        <v>TheWhole Christ: Legalism, Antinomianism, and Gospel Assurance--Why the Marrow Controversy Still Matters</v>
      </c>
      <c r="D234" s="12"/>
      <c r="E234" s="12" t="str">
        <f ca="1">IFERROR(__xludf.DUMMYFUNCTION("""COMPUTED_VALUE"""),"Book")</f>
        <v>Book</v>
      </c>
      <c r="F234" s="12" t="str">
        <f ca="1">IFERROR(__xludf.DUMMYFUNCTION("""COMPUTED_VALUE"""),"Theology")</f>
        <v>Theology</v>
      </c>
      <c r="G234" s="12"/>
      <c r="H234" s="12"/>
      <c r="I234" s="12"/>
      <c r="J234" s="12" t="str">
        <f ca="1">IFERROR(__xludf.DUMMYFUNCTION("""COMPUTED_VALUE"""),"Law, Gospel")</f>
        <v>Law, Gospel</v>
      </c>
      <c r="K234" s="13">
        <f ca="1">IFERROR(__xludf.DUMMYFUNCTION("""COMPUTED_VALUE"""),44178)</f>
        <v>44178</v>
      </c>
      <c r="L234" s="12"/>
      <c r="M234" s="12"/>
      <c r="N234" s="12" t="str">
        <f ca="1">IFERROR(__xludf.DUMMYFUNCTION("""COMPUTED_VALUE"""),"Table1")</f>
        <v>Table1</v>
      </c>
    </row>
    <row r="235" spans="1:14" ht="15.75" customHeight="1" x14ac:dyDescent="0.35">
      <c r="A235" s="12" t="str">
        <f ca="1">IFERROR(__xludf.DUMMYFUNCTION("""COMPUTED_VALUE"""),"Ferrie, Miller")</f>
        <v>Ferrie, Miller</v>
      </c>
      <c r="B235" s="12" t="str">
        <f ca="1">IFERROR(__xludf.DUMMYFUNCTION("""COMPUTED_VALUE""")," Miller Ferrie")</f>
        <v xml:space="preserve"> Miller Ferrie</v>
      </c>
      <c r="C235" s="12" t="str">
        <f ca="1">IFERROR(__xludf.DUMMYFUNCTION("""COMPUTED_VALUE"""),"Jewels from John Newton: Daily Readings from the Works of John Newton")</f>
        <v>Jewels from John Newton: Daily Readings from the Works of John Newton</v>
      </c>
      <c r="D235" s="12"/>
      <c r="E235" s="12" t="str">
        <f ca="1">IFERROR(__xludf.DUMMYFUNCTION("""COMPUTED_VALUE"""),"Book")</f>
        <v>Book</v>
      </c>
      <c r="F235" s="12" t="str">
        <f ca="1">IFERROR(__xludf.DUMMYFUNCTION("""COMPUTED_VALUE"""),"Biography")</f>
        <v>Biography</v>
      </c>
      <c r="G235" s="12"/>
      <c r="H235" s="12"/>
      <c r="I235" s="12"/>
      <c r="J235" s="12"/>
      <c r="K235" s="13"/>
      <c r="L235" s="12"/>
      <c r="M235" s="12"/>
      <c r="N235" s="12" t="str">
        <f ca="1">IFERROR(__xludf.DUMMYFUNCTION("""COMPUTED_VALUE"""),"Table1")</f>
        <v>Table1</v>
      </c>
    </row>
    <row r="236" spans="1:14" ht="15.75" customHeight="1" x14ac:dyDescent="0.35">
      <c r="A236" s="12" t="str">
        <f ca="1">IFERROR(__xludf.DUMMYFUNCTION("""COMPUTED_VALUE"""),"Ferrie, Miller")</f>
        <v>Ferrie, Miller</v>
      </c>
      <c r="B236" s="12" t="str">
        <f ca="1">IFERROR(__xludf.DUMMYFUNCTION("""COMPUTED_VALUE""")," Miller Ferrie")</f>
        <v xml:space="preserve"> Miller Ferrie</v>
      </c>
      <c r="C236" s="12" t="str">
        <f ca="1">IFERROR(__xludf.DUMMYFUNCTION("""COMPUTED_VALUE"""),"Wesley and Men Who Followed")</f>
        <v>Wesley and Men Who Followed</v>
      </c>
      <c r="D236" s="12"/>
      <c r="E236" s="12" t="str">
        <f ca="1">IFERROR(__xludf.DUMMYFUNCTION("""COMPUTED_VALUE"""),"Book")</f>
        <v>Book</v>
      </c>
      <c r="F236" s="12" t="str">
        <f ca="1">IFERROR(__xludf.DUMMYFUNCTION("""COMPUTED_VALUE"""),"Biography")</f>
        <v>Biography</v>
      </c>
      <c r="G236" s="12"/>
      <c r="H236" s="12"/>
      <c r="I236" s="12"/>
      <c r="J236" s="12"/>
      <c r="K236" s="13"/>
      <c r="L236" s="12"/>
      <c r="M236" s="12"/>
      <c r="N236" s="12" t="str">
        <f ca="1">IFERROR(__xludf.DUMMYFUNCTION("""COMPUTED_VALUE"""),"Table1")</f>
        <v>Table1</v>
      </c>
    </row>
    <row r="237" spans="1:14" ht="15.75" customHeight="1" x14ac:dyDescent="0.35">
      <c r="A237" s="12" t="str">
        <f ca="1">IFERROR(__xludf.DUMMYFUNCTION("""COMPUTED_VALUE"""),"Finlayson, Linda")</f>
        <v>Finlayson, Linda</v>
      </c>
      <c r="B237" s="12" t="str">
        <f ca="1">IFERROR(__xludf.DUMMYFUNCTION("""COMPUTED_VALUE""")," Linda Finlayson")</f>
        <v xml:space="preserve"> Linda Finlayson</v>
      </c>
      <c r="C237" s="12" t="str">
        <f ca="1">IFERROR(__xludf.DUMMYFUNCTION("""COMPUTED_VALUE"""),"Adventure and Faith")</f>
        <v>Adventure and Faith</v>
      </c>
      <c r="D237" s="12" t="str">
        <f ca="1">IFERROR(__xludf.DUMMYFUNCTION("""COMPUTED_VALUE"""),"Risktakers")</f>
        <v>Risktakers</v>
      </c>
      <c r="E237" s="12" t="str">
        <f ca="1">IFERROR(__xludf.DUMMYFUNCTION("""COMPUTED_VALUE"""),"Book")</f>
        <v>Book</v>
      </c>
      <c r="F237" s="12" t="str">
        <f ca="1">IFERROR(__xludf.DUMMYFUNCTION("""COMPUTED_VALUE"""),"Children")</f>
        <v>Children</v>
      </c>
      <c r="G237" s="12"/>
      <c r="H237" s="12"/>
      <c r="I237" s="12"/>
      <c r="J237" s="12"/>
      <c r="K237" s="13">
        <f ca="1">IFERROR(__xludf.DUMMYFUNCTION("""COMPUTED_VALUE"""),41591)</f>
        <v>41591</v>
      </c>
      <c r="L237" s="12"/>
      <c r="M237" s="12"/>
      <c r="N237" s="12" t="str">
        <f ca="1">IFERROR(__xludf.DUMMYFUNCTION("""COMPUTED_VALUE"""),"Table1")</f>
        <v>Table1</v>
      </c>
    </row>
    <row r="238" spans="1:14" ht="15.75" customHeight="1" x14ac:dyDescent="0.35">
      <c r="A238" s="12" t="str">
        <f ca="1">IFERROR(__xludf.DUMMYFUNCTION("""COMPUTED_VALUE"""),"Finlayson, Linda")</f>
        <v>Finlayson, Linda</v>
      </c>
      <c r="B238" s="12" t="str">
        <f ca="1">IFERROR(__xludf.DUMMYFUNCTION("""COMPUTED_VALUE""")," Linda Finlayson")</f>
        <v xml:space="preserve"> Linda Finlayson</v>
      </c>
      <c r="C238" s="12" t="str">
        <f ca="1">IFERROR(__xludf.DUMMYFUNCTION("""COMPUTED_VALUE"""),"At the Mercy of Kings: Mary of Orange")</f>
        <v>At the Mercy of Kings: Mary of Orange</v>
      </c>
      <c r="D238" s="12" t="str">
        <f ca="1">IFERROR(__xludf.DUMMYFUNCTION("""COMPUTED_VALUE"""),"Trail Blazers")</f>
        <v>Trail Blazers</v>
      </c>
      <c r="E238" s="12" t="str">
        <f ca="1">IFERROR(__xludf.DUMMYFUNCTION("""COMPUTED_VALUE"""),"Book")</f>
        <v>Book</v>
      </c>
      <c r="F238" s="12" t="str">
        <f ca="1">IFERROR(__xludf.DUMMYFUNCTION("""COMPUTED_VALUE"""),"Children")</f>
        <v>Children</v>
      </c>
      <c r="G238" s="12"/>
      <c r="H238" s="12"/>
      <c r="I238" s="12"/>
      <c r="J238" s="12"/>
      <c r="K238" s="13">
        <f ca="1">IFERROR(__xludf.DUMMYFUNCTION("""COMPUTED_VALUE"""),41804)</f>
        <v>41804</v>
      </c>
      <c r="L238" s="12"/>
      <c r="M238" s="12"/>
      <c r="N238" s="12" t="str">
        <f ca="1">IFERROR(__xludf.DUMMYFUNCTION("""COMPUTED_VALUE"""),"Table1")</f>
        <v>Table1</v>
      </c>
    </row>
    <row r="239" spans="1:14" ht="15.75" customHeight="1" x14ac:dyDescent="0.35">
      <c r="A239" s="12" t="str">
        <f ca="1">IFERROR(__xludf.DUMMYFUNCTION("""COMPUTED_VALUE"""),"Finlayson, Linda")</f>
        <v>Finlayson, Linda</v>
      </c>
      <c r="B239" s="12" t="str">
        <f ca="1">IFERROR(__xludf.DUMMYFUNCTION("""COMPUTED_VALUE""")," Linda Finlayson")</f>
        <v xml:space="preserve"> Linda Finlayson</v>
      </c>
      <c r="C239" s="12" t="str">
        <f ca="1">IFERROR(__xludf.DUMMYFUNCTION("""COMPUTED_VALUE"""),"Guarding the Treasure")</f>
        <v>Guarding the Treasure</v>
      </c>
      <c r="D239" s="12"/>
      <c r="E239" s="12" t="str">
        <f ca="1">IFERROR(__xludf.DUMMYFUNCTION("""COMPUTED_VALUE"""),"Book")</f>
        <v>Book</v>
      </c>
      <c r="F239" s="12" t="str">
        <f ca="1">IFERROR(__xludf.DUMMYFUNCTION("""COMPUTED_VALUE"""),"Children")</f>
        <v>Children</v>
      </c>
      <c r="G239" s="12"/>
      <c r="H239" s="12"/>
      <c r="I239" s="12"/>
      <c r="J239" s="12"/>
      <c r="K239" s="13">
        <f ca="1">IFERROR(__xludf.DUMMYFUNCTION("""COMPUTED_VALUE"""),41041)</f>
        <v>41041</v>
      </c>
      <c r="L239" s="12"/>
      <c r="M239" s="12"/>
      <c r="N239" s="12" t="str">
        <f ca="1">IFERROR(__xludf.DUMMYFUNCTION("""COMPUTED_VALUE"""),"Table1")</f>
        <v>Table1</v>
      </c>
    </row>
    <row r="240" spans="1:14" ht="15.75" customHeight="1" x14ac:dyDescent="0.35">
      <c r="A240" s="12" t="str">
        <f ca="1">IFERROR(__xludf.DUMMYFUNCTION("""COMPUTED_VALUE"""),"Fitzpatrick, Elyse")</f>
        <v>Fitzpatrick, Elyse</v>
      </c>
      <c r="B240" s="12" t="str">
        <f ca="1">IFERROR(__xludf.DUMMYFUNCTION("""COMPUTED_VALUE""")," Elyse Fitzpatrick")</f>
        <v xml:space="preserve"> Elyse Fitzpatrick</v>
      </c>
      <c r="C240" s="12" t="str">
        <f ca="1">IFERROR(__xludf.DUMMYFUNCTION("""COMPUTED_VALUE"""),"The Afternoon of Life: Finding Purpose and Joy in Midlife")</f>
        <v>The Afternoon of Life: Finding Purpose and Joy in Midlife</v>
      </c>
      <c r="D240" s="12"/>
      <c r="E240" s="12" t="str">
        <f ca="1">IFERROR(__xludf.DUMMYFUNCTION("""COMPUTED_VALUE"""),"Book")</f>
        <v>Book</v>
      </c>
      <c r="F240" s="12" t="str">
        <f ca="1">IFERROR(__xludf.DUMMYFUNCTION("""COMPUTED_VALUE"""),"Understanding Mankind")</f>
        <v>Understanding Mankind</v>
      </c>
      <c r="G240" s="12"/>
      <c r="H240" s="12"/>
      <c r="I240" s="12"/>
      <c r="J240" s="12" t="str">
        <f ca="1">IFERROR(__xludf.DUMMYFUNCTION("""COMPUTED_VALUE"""),"Aging")</f>
        <v>Aging</v>
      </c>
      <c r="K240" s="13">
        <f ca="1">IFERROR(__xludf.DUMMYFUNCTION("""COMPUTED_VALUE"""),40034)</f>
        <v>40034</v>
      </c>
      <c r="L240" s="12"/>
      <c r="M240" s="12"/>
      <c r="N240" s="12" t="str">
        <f ca="1">IFERROR(__xludf.DUMMYFUNCTION("""COMPUTED_VALUE"""),"Table1")</f>
        <v>Table1</v>
      </c>
    </row>
    <row r="241" spans="1:14" ht="15.75" customHeight="1" x14ac:dyDescent="0.35">
      <c r="A241" s="12" t="str">
        <f ca="1">IFERROR(__xludf.DUMMYFUNCTION("""COMPUTED_VALUE"""),"Fitzpatrick, Elyse")</f>
        <v>Fitzpatrick, Elyse</v>
      </c>
      <c r="B241" s="12" t="str">
        <f ca="1">IFERROR(__xludf.DUMMYFUNCTION("""COMPUTED_VALUE""")," Elyse Fitzpatrick")</f>
        <v xml:space="preserve"> Elyse Fitzpatrick</v>
      </c>
      <c r="C241" s="12" t="str">
        <f ca="1">IFERROR(__xludf.DUMMYFUNCTION("""COMPUTED_VALUE"""),"Because He Loves Me")</f>
        <v>Because He Loves Me</v>
      </c>
      <c r="D241" s="12"/>
      <c r="E241" s="12" t="str">
        <f ca="1">IFERROR(__xludf.DUMMYFUNCTION("""COMPUTED_VALUE"""),"Book")</f>
        <v>Book</v>
      </c>
      <c r="F241" s="12" t="str">
        <f ca="1">IFERROR(__xludf.DUMMYFUNCTION("""COMPUTED_VALUE"""),"Discipleship")</f>
        <v>Discipleship</v>
      </c>
      <c r="G241" s="12"/>
      <c r="H241" s="12"/>
      <c r="I241" s="12"/>
      <c r="J241" s="12"/>
      <c r="K241" s="13">
        <f ca="1">IFERROR(__xludf.DUMMYFUNCTION("""COMPUTED_VALUE"""),42139)</f>
        <v>42139</v>
      </c>
      <c r="L241" s="12"/>
      <c r="M241" s="12"/>
      <c r="N241" s="12" t="str">
        <f ca="1">IFERROR(__xludf.DUMMYFUNCTION("""COMPUTED_VALUE"""),"Table1")</f>
        <v>Table1</v>
      </c>
    </row>
    <row r="242" spans="1:14" ht="15.75" customHeight="1" x14ac:dyDescent="0.35">
      <c r="A242" s="12" t="str">
        <f ca="1">IFERROR(__xludf.DUMMYFUNCTION("""COMPUTED_VALUE"""),"Fitzpatrick, Elyse")</f>
        <v>Fitzpatrick, Elyse</v>
      </c>
      <c r="B242" s="12" t="str">
        <f ca="1">IFERROR(__xludf.DUMMYFUNCTION("""COMPUTED_VALUE""")," Elyse Fitzpatrick")</f>
        <v xml:space="preserve"> Elyse Fitzpatrick</v>
      </c>
      <c r="C242" s="12" t="str">
        <f ca="1">IFERROR(__xludf.DUMMYFUNCTION("""COMPUTED_VALUE"""),"Comforts from Romans")</f>
        <v>Comforts from Romans</v>
      </c>
      <c r="D242" s="12"/>
      <c r="E242" s="12" t="str">
        <f ca="1">IFERROR(__xludf.DUMMYFUNCTION("""COMPUTED_VALUE"""),"Book")</f>
        <v>Book</v>
      </c>
      <c r="F242" s="12" t="str">
        <f ca="1">IFERROR(__xludf.DUMMYFUNCTION("""COMPUTED_VALUE"""),"Discipleship")</f>
        <v>Discipleship</v>
      </c>
      <c r="G242" s="12"/>
      <c r="H242" s="12"/>
      <c r="I242" s="12"/>
      <c r="J242" s="12"/>
      <c r="K242" s="13"/>
      <c r="L242" s="12"/>
      <c r="M242" s="12"/>
      <c r="N242" s="12" t="str">
        <f ca="1">IFERROR(__xludf.DUMMYFUNCTION("""COMPUTED_VALUE"""),"Table1")</f>
        <v>Table1</v>
      </c>
    </row>
    <row r="243" spans="1:14" ht="15.75" customHeight="1" x14ac:dyDescent="0.35">
      <c r="A243" s="12" t="str">
        <f ca="1">IFERROR(__xludf.DUMMYFUNCTION("""COMPUTED_VALUE"""),"Fitzpatrick, Elyse")</f>
        <v>Fitzpatrick, Elyse</v>
      </c>
      <c r="B243" s="12" t="str">
        <f ca="1">IFERROR(__xludf.DUMMYFUNCTION("""COMPUTED_VALUE""")," Elyse Fitzpatrick")</f>
        <v xml:space="preserve"> Elyse Fitzpatrick</v>
      </c>
      <c r="C243" s="12" t="str">
        <f ca="1">IFERROR(__xludf.DUMMYFUNCTION("""COMPUTED_VALUE"""),"Counsel from the Cross: Connecting Broken People to the Love of Christ")</f>
        <v>Counsel from the Cross: Connecting Broken People to the Love of Christ</v>
      </c>
      <c r="D243" s="12"/>
      <c r="E243" s="12" t="str">
        <f ca="1">IFERROR(__xludf.DUMMYFUNCTION("""COMPUTED_VALUE"""),"Book")</f>
        <v>Book</v>
      </c>
      <c r="F243" s="12" t="str">
        <f ca="1">IFERROR(__xludf.DUMMYFUNCTION("""COMPUTED_VALUE"""),"Understanding Mankind")</f>
        <v>Understanding Mankind</v>
      </c>
      <c r="G243" s="12"/>
      <c r="H243" s="12"/>
      <c r="I243" s="12"/>
      <c r="J243" s="12" t="str">
        <f ca="1">IFERROR(__xludf.DUMMYFUNCTION("""COMPUTED_VALUE"""),"Counseling")</f>
        <v>Counseling</v>
      </c>
      <c r="K243" s="13">
        <f ca="1">IFERROR(__xludf.DUMMYFUNCTION("""COMPUTED_VALUE"""),40827)</f>
        <v>40827</v>
      </c>
      <c r="L243" s="12"/>
      <c r="M243" s="12"/>
      <c r="N243" s="12" t="str">
        <f ca="1">IFERROR(__xludf.DUMMYFUNCTION("""COMPUTED_VALUE"""),"Table1")</f>
        <v>Table1</v>
      </c>
    </row>
    <row r="244" spans="1:14" ht="15.75" customHeight="1" x14ac:dyDescent="0.35">
      <c r="A244" s="12" t="str">
        <f ca="1">IFERROR(__xludf.DUMMYFUNCTION("""COMPUTED_VALUE"""),"Fitzpatrick, Elyse")</f>
        <v>Fitzpatrick, Elyse</v>
      </c>
      <c r="B244" s="12" t="str">
        <f ca="1">IFERROR(__xludf.DUMMYFUNCTION("""COMPUTED_VALUE""")," Elyse Fitzpatrick")</f>
        <v xml:space="preserve"> Elyse Fitzpatrick</v>
      </c>
      <c r="C244" s="12" t="str">
        <f ca="1">IFERROR(__xludf.DUMMYFUNCTION("""COMPUTED_VALUE"""),"Doubt: Trusting God's Promises")</f>
        <v>Doubt: Trusting God's Promises</v>
      </c>
      <c r="D244" s="12"/>
      <c r="E244" s="12" t="str">
        <f ca="1">IFERROR(__xludf.DUMMYFUNCTION("""COMPUTED_VALUE"""),"Book")</f>
        <v>Book</v>
      </c>
      <c r="F244" s="12" t="str">
        <f ca="1">IFERROR(__xludf.DUMMYFUNCTION("""COMPUTED_VALUE"""),"Understanding Mankind")</f>
        <v>Understanding Mankind</v>
      </c>
      <c r="G244" s="12"/>
      <c r="H244" s="12" t="str">
        <f ca="1">IFERROR(__xludf.DUMMYFUNCTION("""COMPUTED_VALUE"""),"Devotionals")</f>
        <v>Devotionals</v>
      </c>
      <c r="I244" s="12"/>
      <c r="J244" s="12"/>
      <c r="K244" s="13"/>
      <c r="L244" s="12"/>
      <c r="M244" s="12"/>
      <c r="N244" s="12" t="str">
        <f ca="1">IFERROR(__xludf.DUMMYFUNCTION("""COMPUTED_VALUE"""),"Table1")</f>
        <v>Table1</v>
      </c>
    </row>
    <row r="245" spans="1:14" ht="15.75" customHeight="1" x14ac:dyDescent="0.35">
      <c r="A245" s="12" t="str">
        <f ca="1">IFERROR(__xludf.DUMMYFUNCTION("""COMPUTED_VALUE"""),"Fitzpatrick, Elyse")</f>
        <v>Fitzpatrick, Elyse</v>
      </c>
      <c r="B245" s="12" t="str">
        <f ca="1">IFERROR(__xludf.DUMMYFUNCTION("""COMPUTED_VALUE""")," Elyse Fitzpatrick")</f>
        <v xml:space="preserve"> Elyse Fitzpatrick</v>
      </c>
      <c r="C245" s="12" t="str">
        <f ca="1">IFERROR(__xludf.DUMMYFUNCTION("""COMPUTED_VALUE"""),"Found in Him")</f>
        <v>Found in Him</v>
      </c>
      <c r="D245" s="12"/>
      <c r="E245" s="12" t="str">
        <f ca="1">IFERROR(__xludf.DUMMYFUNCTION("""COMPUTED_VALUE"""),"Book")</f>
        <v>Book</v>
      </c>
      <c r="F245" s="12" t="str">
        <f ca="1">IFERROR(__xludf.DUMMYFUNCTION("""COMPUTED_VALUE"""),"Discipleship")</f>
        <v>Discipleship</v>
      </c>
      <c r="G245" s="12"/>
      <c r="H245" s="12"/>
      <c r="I245" s="12"/>
      <c r="J245" s="12"/>
      <c r="K245" s="13">
        <f ca="1">IFERROR(__xludf.DUMMYFUNCTION("""COMPUTED_VALUE"""),41621)</f>
        <v>41621</v>
      </c>
      <c r="L245" s="12"/>
      <c r="M245" s="12"/>
      <c r="N245" s="12" t="str">
        <f ca="1">IFERROR(__xludf.DUMMYFUNCTION("""COMPUTED_VALUE"""),"Table1")</f>
        <v>Table1</v>
      </c>
    </row>
    <row r="246" spans="1:14" ht="15.75" customHeight="1" x14ac:dyDescent="0.35">
      <c r="A246" s="12" t="str">
        <f ca="1">IFERROR(__xludf.DUMMYFUNCTION("""COMPUTED_VALUE"""),"Fitzpatrick, Elyse")</f>
        <v>Fitzpatrick, Elyse</v>
      </c>
      <c r="B246" s="12" t="str">
        <f ca="1">IFERROR(__xludf.DUMMYFUNCTION("""COMPUTED_VALUE""")," Elyse Fitzpatrick")</f>
        <v xml:space="preserve"> Elyse Fitzpatrick</v>
      </c>
      <c r="C246" s="12" t="str">
        <f ca="1">IFERROR(__xludf.DUMMYFUNCTION("""COMPUTED_VALUE"""),"Give Them Grace: Dazzling Your Kids with the Love of Jesus")</f>
        <v>Give Them Grace: Dazzling Your Kids with the Love of Jesus</v>
      </c>
      <c r="D246" s="12"/>
      <c r="E246" s="12" t="str">
        <f ca="1">IFERROR(__xludf.DUMMYFUNCTION("""COMPUTED_VALUE"""),"Book")</f>
        <v>Book</v>
      </c>
      <c r="F246" s="12" t="str">
        <f ca="1">IFERROR(__xludf.DUMMYFUNCTION("""COMPUTED_VALUE"""),"Understanding Mankind")</f>
        <v>Understanding Mankind</v>
      </c>
      <c r="G246" s="12"/>
      <c r="H246" s="12"/>
      <c r="I246" s="12"/>
      <c r="J246" s="12" t="str">
        <f ca="1">IFERROR(__xludf.DUMMYFUNCTION("""COMPUTED_VALUE"""),"Parenting")</f>
        <v>Parenting</v>
      </c>
      <c r="K246" s="13">
        <f ca="1">IFERROR(__xludf.DUMMYFUNCTION("""COMPUTED_VALUE"""),41011)</f>
        <v>41011</v>
      </c>
      <c r="L246" s="12"/>
      <c r="M246" s="12"/>
      <c r="N246" s="12" t="str">
        <f ca="1">IFERROR(__xludf.DUMMYFUNCTION("""COMPUTED_VALUE"""),"Table1")</f>
        <v>Table1</v>
      </c>
    </row>
    <row r="247" spans="1:14" ht="15.75" customHeight="1" x14ac:dyDescent="0.35">
      <c r="A247" s="12" t="str">
        <f ca="1">IFERROR(__xludf.DUMMYFUNCTION("""COMPUTED_VALUE"""),"Fitzpatrick, Elyse")</f>
        <v>Fitzpatrick, Elyse</v>
      </c>
      <c r="B247" s="12" t="str">
        <f ca="1">IFERROR(__xludf.DUMMYFUNCTION("""COMPUTED_VALUE""")," Elyse Fitzpatrick")</f>
        <v xml:space="preserve"> Elyse Fitzpatrick</v>
      </c>
      <c r="C247" s="12" t="str">
        <f ca="1">IFERROR(__xludf.DUMMYFUNCTION("""COMPUTED_VALUE"""),"Good News for Weary Women")</f>
        <v>Good News for Weary Women</v>
      </c>
      <c r="D247" s="12"/>
      <c r="E247" s="12" t="str">
        <f ca="1">IFERROR(__xludf.DUMMYFUNCTION("""COMPUTED_VALUE"""),"Book")</f>
        <v>Book</v>
      </c>
      <c r="F247" s="12" t="str">
        <f ca="1">IFERROR(__xludf.DUMMYFUNCTION("""COMPUTED_VALUE"""),"Discipleship")</f>
        <v>Discipleship</v>
      </c>
      <c r="G247" s="12"/>
      <c r="H247" s="12"/>
      <c r="I247" s="12"/>
      <c r="J247" s="12" t="str">
        <f ca="1">IFERROR(__xludf.DUMMYFUNCTION("""COMPUTED_VALUE"""),"Christian Women")</f>
        <v>Christian Women</v>
      </c>
      <c r="K247" s="13">
        <f ca="1">IFERROR(__xludf.DUMMYFUNCTION("""COMPUTED_VALUE"""),42476)</f>
        <v>42476</v>
      </c>
      <c r="L247" s="12"/>
      <c r="M247" s="12"/>
      <c r="N247" s="12" t="str">
        <f ca="1">IFERROR(__xludf.DUMMYFUNCTION("""COMPUTED_VALUE"""),"Table1")</f>
        <v>Table1</v>
      </c>
    </row>
    <row r="248" spans="1:14" ht="15.75" customHeight="1" x14ac:dyDescent="0.35">
      <c r="A248" s="12" t="str">
        <f ca="1">IFERROR(__xludf.DUMMYFUNCTION("""COMPUTED_VALUE"""),"Fitzpatrick, Elyse")</f>
        <v>Fitzpatrick, Elyse</v>
      </c>
      <c r="B248" s="12" t="str">
        <f ca="1">IFERROR(__xludf.DUMMYFUNCTION("""COMPUTED_VALUE""")," Elyse Fitzpatrick")</f>
        <v xml:space="preserve"> Elyse Fitzpatrick</v>
      </c>
      <c r="C248" s="12" t="str">
        <f ca="1">IFERROR(__xludf.DUMMYFUNCTION("""COMPUTED_VALUE"""),"Idols of the Heart")</f>
        <v>Idols of the Heart</v>
      </c>
      <c r="D248" s="12"/>
      <c r="E248" s="12" t="str">
        <f ca="1">IFERROR(__xludf.DUMMYFUNCTION("""COMPUTED_VALUE"""),"Book")</f>
        <v>Book</v>
      </c>
      <c r="F248" s="12" t="str">
        <f ca="1">IFERROR(__xludf.DUMMYFUNCTION("""COMPUTED_VALUE"""),"Understanding Mankind")</f>
        <v>Understanding Mankind</v>
      </c>
      <c r="G248" s="12"/>
      <c r="H248" s="12"/>
      <c r="I248" s="12"/>
      <c r="J248" s="12" t="str">
        <f ca="1">IFERROR(__xludf.DUMMYFUNCTION("""COMPUTED_VALUE"""),"Sin")</f>
        <v>Sin</v>
      </c>
      <c r="K248" s="13">
        <f ca="1">IFERROR(__xludf.DUMMYFUNCTION("""COMPUTED_VALUE"""),40034)</f>
        <v>40034</v>
      </c>
      <c r="L248" s="12"/>
      <c r="M248" s="12"/>
      <c r="N248" s="12" t="str">
        <f ca="1">IFERROR(__xludf.DUMMYFUNCTION("""COMPUTED_VALUE"""),"Table1")</f>
        <v>Table1</v>
      </c>
    </row>
    <row r="249" spans="1:14" ht="15.75" customHeight="1" x14ac:dyDescent="0.35">
      <c r="A249" s="12" t="str">
        <f ca="1">IFERROR(__xludf.DUMMYFUNCTION("""COMPUTED_VALUE"""),"Fitzpatrick, Elyse")</f>
        <v>Fitzpatrick, Elyse</v>
      </c>
      <c r="B249" s="12" t="str">
        <f ca="1">IFERROR(__xludf.DUMMYFUNCTION("""COMPUTED_VALUE""")," Elyse Fitzpatrick")</f>
        <v xml:space="preserve"> Elyse Fitzpatrick</v>
      </c>
      <c r="C249" s="12" t="str">
        <f ca="1">IFERROR(__xludf.DUMMYFUNCTION("""COMPUTED_VALUE"""),"Overcoming Fear, Worry and Anxiety")</f>
        <v>Overcoming Fear, Worry and Anxiety</v>
      </c>
      <c r="D249" s="12"/>
      <c r="E249" s="12" t="str">
        <f ca="1">IFERROR(__xludf.DUMMYFUNCTION("""COMPUTED_VALUE"""),"Book")</f>
        <v>Book</v>
      </c>
      <c r="F249" s="12" t="str">
        <f ca="1">IFERROR(__xludf.DUMMYFUNCTION("""COMPUTED_VALUE"""),"Understanding Mankind")</f>
        <v>Understanding Mankind</v>
      </c>
      <c r="G249" s="12"/>
      <c r="H249" s="12"/>
      <c r="I249" s="12"/>
      <c r="J249" s="12" t="str">
        <f ca="1">IFERROR(__xludf.DUMMYFUNCTION("""COMPUTED_VALUE"""),"Fear")</f>
        <v>Fear</v>
      </c>
      <c r="K249" s="13">
        <f ca="1">IFERROR(__xludf.DUMMYFUNCTION("""COMPUTED_VALUE"""),40034)</f>
        <v>40034</v>
      </c>
      <c r="L249" s="12"/>
      <c r="M249" s="12"/>
      <c r="N249" s="12" t="str">
        <f ca="1">IFERROR(__xludf.DUMMYFUNCTION("""COMPUTED_VALUE"""),"Table1")</f>
        <v>Table1</v>
      </c>
    </row>
    <row r="250" spans="1:14" ht="15.75" customHeight="1" x14ac:dyDescent="0.35">
      <c r="A250" s="12" t="str">
        <f ca="1">IFERROR(__xludf.DUMMYFUNCTION("""COMPUTED_VALUE"""),"Fitzpatrick, Elyse")</f>
        <v>Fitzpatrick, Elyse</v>
      </c>
      <c r="B250" s="12" t="str">
        <f ca="1">IFERROR(__xludf.DUMMYFUNCTION("""COMPUTED_VALUE""")," Elyse Fitzpatrick")</f>
        <v xml:space="preserve"> Elyse Fitzpatrick</v>
      </c>
      <c r="C250" s="12" t="str">
        <f ca="1">IFERROR(__xludf.DUMMYFUNCTION("""COMPUTED_VALUE"""),"A Steadfast Heart: Experiencing God's Comfort in Life's Storms")</f>
        <v>A Steadfast Heart: Experiencing God's Comfort in Life's Storms</v>
      </c>
      <c r="D250" s="12"/>
      <c r="E250" s="12" t="str">
        <f ca="1">IFERROR(__xludf.DUMMYFUNCTION("""COMPUTED_VALUE"""),"Book")</f>
        <v>Book</v>
      </c>
      <c r="F250" s="12" t="str">
        <f ca="1">IFERROR(__xludf.DUMMYFUNCTION("""COMPUTED_VALUE"""),"Understanding Mankind")</f>
        <v>Understanding Mankind</v>
      </c>
      <c r="G250" s="12"/>
      <c r="H250" s="12"/>
      <c r="I250" s="12"/>
      <c r="J250" s="12" t="str">
        <f ca="1">IFERROR(__xludf.DUMMYFUNCTION("""COMPUTED_VALUE"""),"Suffering")</f>
        <v>Suffering</v>
      </c>
      <c r="K250" s="13">
        <f ca="1">IFERROR(__xludf.DUMMYFUNCTION("""COMPUTED_VALUE"""),40034)</f>
        <v>40034</v>
      </c>
      <c r="L250" s="12"/>
      <c r="M250" s="12"/>
      <c r="N250" s="12" t="str">
        <f ca="1">IFERROR(__xludf.DUMMYFUNCTION("""COMPUTED_VALUE"""),"Table1")</f>
        <v>Table1</v>
      </c>
    </row>
    <row r="251" spans="1:14" ht="15.75" customHeight="1" x14ac:dyDescent="0.35">
      <c r="A251" s="12" t="str">
        <f ca="1">IFERROR(__xludf.DUMMYFUNCTION("""COMPUTED_VALUE"""),"Fitzpatrick, Elyse")</f>
        <v>Fitzpatrick, Elyse</v>
      </c>
      <c r="B251" s="12" t="str">
        <f ca="1">IFERROR(__xludf.DUMMYFUNCTION("""COMPUTED_VALUE""")," Elyse Fitzpatrick")</f>
        <v xml:space="preserve"> Elyse Fitzpatrick</v>
      </c>
      <c r="C251" s="12" t="str">
        <f ca="1">IFERROR(__xludf.DUMMYFUNCTION("""COMPUTED_VALUE"""),"Will Medicine Stop the Pain?: Finding God's Healing for Depression, Anxiety, and other Troubling Emotions")</f>
        <v>Will Medicine Stop the Pain?: Finding God's Healing for Depression, Anxiety, and other Troubling Emotions</v>
      </c>
      <c r="D251" s="12" t="str">
        <f ca="1">IFERROR(__xludf.DUMMYFUNCTION("""COMPUTED_VALUE"""),"Hendrickson")</f>
        <v>Hendrickson</v>
      </c>
      <c r="E251" s="12" t="str">
        <f ca="1">IFERROR(__xludf.DUMMYFUNCTION("""COMPUTED_VALUE"""),"Book")</f>
        <v>Book</v>
      </c>
      <c r="F251" s="12" t="str">
        <f ca="1">IFERROR(__xludf.DUMMYFUNCTION("""COMPUTED_VALUE"""),"Understanding Mankind")</f>
        <v>Understanding Mankind</v>
      </c>
      <c r="G251" s="12"/>
      <c r="H251" s="12"/>
      <c r="I251" s="12"/>
      <c r="J251" s="12" t="str">
        <f ca="1">IFERROR(__xludf.DUMMYFUNCTION("""COMPUTED_VALUE"""),"Depression")</f>
        <v>Depression</v>
      </c>
      <c r="K251" s="13">
        <f ca="1">IFERROR(__xludf.DUMMYFUNCTION("""COMPUTED_VALUE"""),40034)</f>
        <v>40034</v>
      </c>
      <c r="L251" s="12"/>
      <c r="M251" s="12"/>
      <c r="N251" s="12" t="str">
        <f ca="1">IFERROR(__xludf.DUMMYFUNCTION("""COMPUTED_VALUE"""),"Table1")</f>
        <v>Table1</v>
      </c>
    </row>
    <row r="252" spans="1:14" ht="15.75" customHeight="1" x14ac:dyDescent="0.35">
      <c r="A252" s="12" t="str">
        <f ca="1">IFERROR(__xludf.DUMMYFUNCTION("""COMPUTED_VALUE"""),"Fitzpatrick, Elyse; Hendrickson, Laura")</f>
        <v>Fitzpatrick, Elyse; Hendrickson, Laura</v>
      </c>
      <c r="B252" s="12" t="str">
        <f ca="1">IFERROR(__xludf.DUMMYFUNCTION("""COMPUTED_VALUE""")," Elyse Fitzpatrick; Laura Hendrickson")</f>
        <v xml:space="preserve"> Elyse Fitzpatrick; Laura Hendrickson</v>
      </c>
      <c r="C252" s="12" t="str">
        <f ca="1">IFERROR(__xludf.DUMMYFUNCTION("""COMPUTED_VALUE"""),"Comfort from the Cross")</f>
        <v>Comfort from the Cross</v>
      </c>
      <c r="D252" s="12"/>
      <c r="E252" s="12" t="str">
        <f ca="1">IFERROR(__xludf.DUMMYFUNCTION("""COMPUTED_VALUE"""),"Book")</f>
        <v>Book</v>
      </c>
      <c r="F252" s="12" t="str">
        <f ca="1">IFERROR(__xludf.DUMMYFUNCTION("""COMPUTED_VALUE"""),"Discipleship")</f>
        <v>Discipleship</v>
      </c>
      <c r="G252" s="12"/>
      <c r="H252" s="12"/>
      <c r="I252" s="12"/>
      <c r="J252" s="12"/>
      <c r="K252" s="13">
        <f ca="1">IFERROR(__xludf.DUMMYFUNCTION("""COMPUTED_VALUE"""),40644)</f>
        <v>40644</v>
      </c>
      <c r="L252" s="12"/>
      <c r="M252" s="12"/>
      <c r="N252" s="12" t="str">
        <f ca="1">IFERROR(__xludf.DUMMYFUNCTION("""COMPUTED_VALUE"""),"Table1")</f>
        <v>Table1</v>
      </c>
    </row>
    <row r="253" spans="1:14" ht="15.75" customHeight="1" x14ac:dyDescent="0.35">
      <c r="A253" s="12" t="str">
        <f ca="1">IFERROR(__xludf.DUMMYFUNCTION("""COMPUTED_VALUE"""),"Flavel, John")</f>
        <v>Flavel, John</v>
      </c>
      <c r="B253" s="12" t="str">
        <f ca="1">IFERROR(__xludf.DUMMYFUNCTION("""COMPUTED_VALUE""")," John Flavel")</f>
        <v xml:space="preserve"> John Flavel</v>
      </c>
      <c r="C253" s="12" t="str">
        <f ca="1">IFERROR(__xludf.DUMMYFUNCTION("""COMPUTED_VALUE"""),"TheMystery of Providence")</f>
        <v>TheMystery of Providence</v>
      </c>
      <c r="D253" s="12"/>
      <c r="E253" s="12" t="str">
        <f ca="1">IFERROR(__xludf.DUMMYFUNCTION("""COMPUTED_VALUE"""),"Book")</f>
        <v>Book</v>
      </c>
      <c r="F253" s="12" t="str">
        <f ca="1">IFERROR(__xludf.DUMMYFUNCTION("""COMPUTED_VALUE"""),"Theology")</f>
        <v>Theology</v>
      </c>
      <c r="G253" s="12"/>
      <c r="H253" s="12" t="str">
        <f ca="1">IFERROR(__xludf.DUMMYFUNCTION("""COMPUTED_VALUE"""),"Puritans")</f>
        <v>Puritans</v>
      </c>
      <c r="I253" s="12"/>
      <c r="J253" s="12"/>
      <c r="K253" s="13">
        <f ca="1">IFERROR(__xludf.DUMMYFUNCTION("""COMPUTED_VALUE"""),43160)</f>
        <v>43160</v>
      </c>
      <c r="L253" s="12"/>
      <c r="M253" s="12"/>
      <c r="N253" s="12" t="str">
        <f ca="1">IFERROR(__xludf.DUMMYFUNCTION("""COMPUTED_VALUE"""),"Table1")</f>
        <v>Table1</v>
      </c>
    </row>
    <row r="254" spans="1:14" ht="15.75" customHeight="1" x14ac:dyDescent="0.35">
      <c r="A254" s="12" t="str">
        <f ca="1">IFERROR(__xludf.DUMMYFUNCTION("""COMPUTED_VALUE"""),"Fortson, S. Donald III")</f>
        <v>Fortson, S. Donald III</v>
      </c>
      <c r="B254" s="12" t="str">
        <f ca="1">IFERROR(__xludf.DUMMYFUNCTION("""COMPUTED_VALUE""")," S. Donald III Fortson")</f>
        <v xml:space="preserve"> S. Donald III Fortson</v>
      </c>
      <c r="C254" s="12" t="str">
        <f ca="1">IFERROR(__xludf.DUMMYFUNCTION("""COMPUTED_VALUE"""),"Charles Hodge")</f>
        <v>Charles Hodge</v>
      </c>
      <c r="D254" s="12" t="str">
        <f ca="1">IFERROR(__xludf.DUMMYFUNCTION("""COMPUTED_VALUE"""),"Bitesize Biographies")</f>
        <v>Bitesize Biographies</v>
      </c>
      <c r="E254" s="12" t="str">
        <f ca="1">IFERROR(__xludf.DUMMYFUNCTION("""COMPUTED_VALUE"""),"Book")</f>
        <v>Book</v>
      </c>
      <c r="F254" s="12" t="str">
        <f ca="1">IFERROR(__xludf.DUMMYFUNCTION("""COMPUTED_VALUE"""),"Biography")</f>
        <v>Biography</v>
      </c>
      <c r="G254" s="12"/>
      <c r="H254" s="12"/>
      <c r="I254" s="12"/>
      <c r="J254" s="12"/>
      <c r="K254" s="13">
        <f ca="1">IFERROR(__xludf.DUMMYFUNCTION("""COMPUTED_VALUE"""),43704)</f>
        <v>43704</v>
      </c>
      <c r="L254" s="12"/>
      <c r="M254" s="12"/>
      <c r="N254" s="12" t="str">
        <f ca="1">IFERROR(__xludf.DUMMYFUNCTION("""COMPUTED_VALUE"""),"Table1")</f>
        <v>Table1</v>
      </c>
    </row>
    <row r="255" spans="1:14" ht="15.75" customHeight="1" x14ac:dyDescent="0.35">
      <c r="A255" s="12" t="str">
        <f ca="1">IFERROR(__xludf.DUMMYFUNCTION("""COMPUTED_VALUE"""),"Freeman, John")</f>
        <v>Freeman, John</v>
      </c>
      <c r="B255" s="12" t="str">
        <f ca="1">IFERROR(__xludf.DUMMYFUNCTION("""COMPUTED_VALUE""")," John Freeman")</f>
        <v xml:space="preserve"> John Freeman</v>
      </c>
      <c r="C255" s="12" t="str">
        <f ca="1">IFERROR(__xludf.DUMMYFUNCTION("""COMPUTED_VALUE"""),"Hide Or Seek: When Men Get Real with God About Sex")</f>
        <v>Hide Or Seek: When Men Get Real with God About Sex</v>
      </c>
      <c r="D255" s="12"/>
      <c r="E255" s="12" t="str">
        <f ca="1">IFERROR(__xludf.DUMMYFUNCTION("""COMPUTED_VALUE"""),"Book")</f>
        <v>Book</v>
      </c>
      <c r="F255" s="12" t="str">
        <f ca="1">IFERROR(__xludf.DUMMYFUNCTION("""COMPUTED_VALUE"""),"Understanding Mankind")</f>
        <v>Understanding Mankind</v>
      </c>
      <c r="G255" s="12"/>
      <c r="H255" s="12"/>
      <c r="I255" s="12"/>
      <c r="J255" s="12" t="str">
        <f ca="1">IFERROR(__xludf.DUMMYFUNCTION("""COMPUTED_VALUE"""),"Christian Men, Sexuality")</f>
        <v>Christian Men, Sexuality</v>
      </c>
      <c r="K255" s="13">
        <f ca="1">IFERROR(__xludf.DUMMYFUNCTION("""COMPUTED_VALUE"""),42125)</f>
        <v>42125</v>
      </c>
      <c r="L255" s="12"/>
      <c r="M255" s="12"/>
      <c r="N255" s="12" t="str">
        <f ca="1">IFERROR(__xludf.DUMMYFUNCTION("""COMPUTED_VALUE"""),"Table1")</f>
        <v>Table1</v>
      </c>
    </row>
    <row r="256" spans="1:14" ht="15.75" customHeight="1" x14ac:dyDescent="0.35">
      <c r="A256" s="12" t="str">
        <f ca="1">IFERROR(__xludf.DUMMYFUNCTION("""COMPUTED_VALUE"""),"Furman, Dave")</f>
        <v>Furman, Dave</v>
      </c>
      <c r="B256" s="12" t="str">
        <f ca="1">IFERROR(__xludf.DUMMYFUNCTION("""COMPUTED_VALUE""")," Dave Furman")</f>
        <v xml:space="preserve"> Dave Furman</v>
      </c>
      <c r="C256" s="12" t="str">
        <f ca="1">IFERROR(__xludf.DUMMYFUNCTION("""COMPUTED_VALUE"""),"Being There: How to Love Those Who Are Hurting")</f>
        <v>Being There: How to Love Those Who Are Hurting</v>
      </c>
      <c r="D256" s="12"/>
      <c r="E256" s="12" t="str">
        <f ca="1">IFERROR(__xludf.DUMMYFUNCTION("""COMPUTED_VALUE"""),"Book")</f>
        <v>Book</v>
      </c>
      <c r="F256" s="12" t="str">
        <f ca="1">IFERROR(__xludf.DUMMYFUNCTION("""COMPUTED_VALUE"""),"Understanding Mankind")</f>
        <v>Understanding Mankind</v>
      </c>
      <c r="G256" s="12"/>
      <c r="H256" s="12"/>
      <c r="I256" s="12"/>
      <c r="J256" s="12" t="str">
        <f ca="1">IFERROR(__xludf.DUMMYFUNCTION("""COMPUTED_VALUE"""),"Suffering")</f>
        <v>Suffering</v>
      </c>
      <c r="K256" s="13">
        <f ca="1">IFERROR(__xludf.DUMMYFUNCTION("""COMPUTED_VALUE"""),42677)</f>
        <v>42677</v>
      </c>
      <c r="L256" s="12"/>
      <c r="M256" s="12"/>
      <c r="N256" s="12" t="str">
        <f ca="1">IFERROR(__xludf.DUMMYFUNCTION("""COMPUTED_VALUE"""),"Table1")</f>
        <v>Table1</v>
      </c>
    </row>
    <row r="257" spans="1:14" ht="15.75" customHeight="1" x14ac:dyDescent="0.35">
      <c r="A257" s="12" t="str">
        <f ca="1">IFERROR(__xludf.DUMMYFUNCTION("""COMPUTED_VALUE"""),"Gaffin, Jean")</f>
        <v>Gaffin, Jean</v>
      </c>
      <c r="B257" s="12" t="str">
        <f ca="1">IFERROR(__xludf.DUMMYFUNCTION("""COMPUTED_VALUE""")," Jean Gaffin")</f>
        <v xml:space="preserve"> Jean Gaffin</v>
      </c>
      <c r="C257" s="12" t="str">
        <f ca="1">IFERROR(__xludf.DUMMYFUNCTION("""COMPUTED_VALUE"""),"Who He Says I Am: A Study of Our Identity in Christ")</f>
        <v>Who He Says I Am: A Study of Our Identity in Christ</v>
      </c>
      <c r="D257" s="12"/>
      <c r="E257" s="12" t="str">
        <f ca="1">IFERROR(__xludf.DUMMYFUNCTION("""COMPUTED_VALUE"""),"Book")</f>
        <v>Book</v>
      </c>
      <c r="F257" s="12" t="str">
        <f ca="1">IFERROR(__xludf.DUMMYFUNCTION("""COMPUTED_VALUE"""),"Discipleship")</f>
        <v>Discipleship</v>
      </c>
      <c r="G257" s="12"/>
      <c r="H257" s="12"/>
      <c r="I257" s="12"/>
      <c r="J257" s="12"/>
      <c r="K257" s="13">
        <f ca="1">IFERROR(__xludf.DUMMYFUNCTION("""COMPUTED_VALUE"""),44044)</f>
        <v>44044</v>
      </c>
      <c r="L257" s="12"/>
      <c r="M257" s="12"/>
      <c r="N257" s="12" t="str">
        <f ca="1">IFERROR(__xludf.DUMMYFUNCTION("""COMPUTED_VALUE"""),"Table1")</f>
        <v>Table1</v>
      </c>
    </row>
    <row r="258" spans="1:14" ht="15.75" customHeight="1" x14ac:dyDescent="0.35">
      <c r="A258" s="12" t="str">
        <f ca="1">IFERROR(__xludf.DUMMYFUNCTION("""COMPUTED_VALUE"""),"Galea, Ray")</f>
        <v>Galea, Ray</v>
      </c>
      <c r="B258" s="12" t="str">
        <f ca="1">IFERROR(__xludf.DUMMYFUNCTION("""COMPUTED_VALUE""")," Ray Galea")</f>
        <v xml:space="preserve"> Ray Galea</v>
      </c>
      <c r="C258" s="12" t="str">
        <f ca="1">IFERROR(__xludf.DUMMYFUNCTION("""COMPUTED_VALUE"""),"From Here to Eternity: Assurance in the Face of Sin and Suffering")</f>
        <v>From Here to Eternity: Assurance in the Face of Sin and Suffering</v>
      </c>
      <c r="D258" s="12"/>
      <c r="E258" s="12" t="str">
        <f ca="1">IFERROR(__xludf.DUMMYFUNCTION("""COMPUTED_VALUE"""),"Book")</f>
        <v>Book</v>
      </c>
      <c r="F258" s="12" t="str">
        <f ca="1">IFERROR(__xludf.DUMMYFUNCTION("""COMPUTED_VALUE"""),"Discipleship")</f>
        <v>Discipleship</v>
      </c>
      <c r="G258" s="12"/>
      <c r="H258" s="12"/>
      <c r="I258" s="12"/>
      <c r="J258" s="12" t="str">
        <f ca="1">IFERROR(__xludf.DUMMYFUNCTION("""COMPUTED_VALUE"""),"Sin, Assurance")</f>
        <v>Sin, Assurance</v>
      </c>
      <c r="K258" s="13"/>
      <c r="L258" s="12"/>
      <c r="M258" s="12"/>
      <c r="N258" s="12" t="str">
        <f ca="1">IFERROR(__xludf.DUMMYFUNCTION("""COMPUTED_VALUE"""),"Table1")</f>
        <v>Table1</v>
      </c>
    </row>
    <row r="259" spans="1:14" ht="15.75" customHeight="1" x14ac:dyDescent="0.35">
      <c r="A259" s="12" t="str">
        <f ca="1">IFERROR(__xludf.DUMMYFUNCTION("""COMPUTED_VALUE"""),"Ganz, Nancy E.")</f>
        <v>Ganz, Nancy E.</v>
      </c>
      <c r="B259" s="12" t="str">
        <f ca="1">IFERROR(__xludf.DUMMYFUNCTION("""COMPUTED_VALUE""")," Nancy E. Ganz")</f>
        <v xml:space="preserve"> Nancy E. Ganz</v>
      </c>
      <c r="C259" s="12" t="str">
        <f ca="1">IFERROR(__xludf.DUMMYFUNCTION("""COMPUTED_VALUE"""),"Genesis: A Commentary for Children")</f>
        <v>Genesis: A Commentary for Children</v>
      </c>
      <c r="D259" s="12"/>
      <c r="E259" s="12" t="str">
        <f ca="1">IFERROR(__xludf.DUMMYFUNCTION("""COMPUTED_VALUE"""),"Book")</f>
        <v>Book</v>
      </c>
      <c r="F259" s="12" t="str">
        <f ca="1">IFERROR(__xludf.DUMMYFUNCTION("""COMPUTED_VALUE"""),"Bible")</f>
        <v>Bible</v>
      </c>
      <c r="G259" s="12"/>
      <c r="H259" s="12"/>
      <c r="I259" s="12"/>
      <c r="J259" s="12" t="str">
        <f ca="1">IFERROR(__xludf.DUMMYFUNCTION("""COMPUTED_VALUE"""),"Teaching Children")</f>
        <v>Teaching Children</v>
      </c>
      <c r="K259" s="13">
        <f ca="1">IFERROR(__xludf.DUMMYFUNCTION("""COMPUTED_VALUE"""),40034)</f>
        <v>40034</v>
      </c>
      <c r="L259" s="12"/>
      <c r="M259" s="12"/>
      <c r="N259" s="12" t="str">
        <f ca="1">IFERROR(__xludf.DUMMYFUNCTION("""COMPUTED_VALUE"""),"Table1")</f>
        <v>Table1</v>
      </c>
    </row>
    <row r="260" spans="1:14" ht="15.75" customHeight="1" x14ac:dyDescent="0.35">
      <c r="A260" s="12" t="str">
        <f ca="1">IFERROR(__xludf.DUMMYFUNCTION("""COMPUTED_VALUE"""),"Garland, David E.")</f>
        <v>Garland, David E.</v>
      </c>
      <c r="B260" s="12" t="str">
        <f ca="1">IFERROR(__xludf.DUMMYFUNCTION("""COMPUTED_VALUE""")," David E. Garland")</f>
        <v xml:space="preserve"> David E. Garland</v>
      </c>
      <c r="C260" s="12" t="str">
        <f ca="1">IFERROR(__xludf.DUMMYFUNCTION("""COMPUTED_VALUE"""),"1 Corinthians Baker Exegetical Commentary on the NT")</f>
        <v>1 Corinthians Baker Exegetical Commentary on the NT</v>
      </c>
      <c r="D260" s="12"/>
      <c r="E260" s="12" t="str">
        <f ca="1">IFERROR(__xludf.DUMMYFUNCTION("""COMPUTED_VALUE"""),"Book")</f>
        <v>Book</v>
      </c>
      <c r="F260" s="12" t="str">
        <f ca="1">IFERROR(__xludf.DUMMYFUNCTION("""COMPUTED_VALUE"""),"Reference")</f>
        <v>Reference</v>
      </c>
      <c r="G260" s="12"/>
      <c r="H260" s="12"/>
      <c r="I260" s="12"/>
      <c r="J260" s="12"/>
      <c r="K260" s="13">
        <f ca="1">IFERROR(__xludf.DUMMYFUNCTION("""COMPUTED_VALUE"""),42511)</f>
        <v>42511</v>
      </c>
      <c r="L260" s="12"/>
      <c r="M260" s="12"/>
      <c r="N260" s="12" t="str">
        <f ca="1">IFERROR(__xludf.DUMMYFUNCTION("""COMPUTED_VALUE"""),"Table1")</f>
        <v>Table1</v>
      </c>
    </row>
    <row r="261" spans="1:14" ht="15.75" customHeight="1" x14ac:dyDescent="0.35">
      <c r="A261" s="12" t="str">
        <f ca="1">IFERROR(__xludf.DUMMYFUNCTION("""COMPUTED_VALUE"""),"Garner, David")</f>
        <v>Garner, David</v>
      </c>
      <c r="B261" s="12" t="str">
        <f ca="1">IFERROR(__xludf.DUMMYFUNCTION("""COMPUTED_VALUE""")," David Garner")</f>
        <v xml:space="preserve"> David Garner</v>
      </c>
      <c r="C261" s="12" t="str">
        <f ca="1">IFERROR(__xludf.DUMMYFUNCTION("""COMPUTED_VALUE"""),"Did God Really Say")</f>
        <v>Did God Really Say</v>
      </c>
      <c r="D261" s="12"/>
      <c r="E261" s="12" t="str">
        <f ca="1">IFERROR(__xludf.DUMMYFUNCTION("""COMPUTED_VALUE"""),"Book")</f>
        <v>Book</v>
      </c>
      <c r="F261" s="12" t="str">
        <f ca="1">IFERROR(__xludf.DUMMYFUNCTION("""COMPUTED_VALUE"""),"Theology")</f>
        <v>Theology</v>
      </c>
      <c r="G261" s="12" t="str">
        <f ca="1">IFERROR(__xludf.DUMMYFUNCTION("""COMPUTED_VALUE"""),"Bible")</f>
        <v>Bible</v>
      </c>
      <c r="H261" s="12"/>
      <c r="I261" s="12"/>
      <c r="J261" s="12"/>
      <c r="K261" s="13"/>
      <c r="L261" s="12"/>
      <c r="M261" s="12"/>
      <c r="N261" s="12" t="str">
        <f ca="1">IFERROR(__xludf.DUMMYFUNCTION("""COMPUTED_VALUE"""),"Table1")</f>
        <v>Table1</v>
      </c>
    </row>
    <row r="262" spans="1:14" ht="15.75" customHeight="1" x14ac:dyDescent="0.35">
      <c r="A262" s="12" t="str">
        <f ca="1">IFERROR(__xludf.DUMMYFUNCTION("""COMPUTED_VALUE"""),"Garner, David B.")</f>
        <v>Garner, David B.</v>
      </c>
      <c r="B262" s="12" t="str">
        <f ca="1">IFERROR(__xludf.DUMMYFUNCTION("""COMPUTED_VALUE""")," David B. Garner")</f>
        <v xml:space="preserve"> David B. Garner</v>
      </c>
      <c r="C262" s="12" t="str">
        <f ca="1">IFERROR(__xludf.DUMMYFUNCTION("""COMPUTED_VALUE"""),"Sons in the Son")</f>
        <v>Sons in the Son</v>
      </c>
      <c r="D262" s="12"/>
      <c r="E262" s="12" t="str">
        <f ca="1">IFERROR(__xludf.DUMMYFUNCTION("""COMPUTED_VALUE"""),"Book")</f>
        <v>Book</v>
      </c>
      <c r="F262" s="12" t="str">
        <f ca="1">IFERROR(__xludf.DUMMYFUNCTION("""COMPUTED_VALUE"""),"Theology")</f>
        <v>Theology</v>
      </c>
      <c r="G262" s="12"/>
      <c r="H262" s="12"/>
      <c r="I262" s="12"/>
      <c r="J262" s="12"/>
      <c r="K262" s="13">
        <f ca="1">IFERROR(__xludf.DUMMYFUNCTION("""COMPUTED_VALUE"""),42856)</f>
        <v>42856</v>
      </c>
      <c r="L262" s="12"/>
      <c r="M262" s="12"/>
      <c r="N262" s="12" t="str">
        <f ca="1">IFERROR(__xludf.DUMMYFUNCTION("""COMPUTED_VALUE"""),"Table1")</f>
        <v>Table1</v>
      </c>
    </row>
    <row r="263" spans="1:14" ht="15.75" customHeight="1" x14ac:dyDescent="0.35">
      <c r="A263" s="12" t="str">
        <f ca="1">IFERROR(__xludf.DUMMYFUNCTION("""COMPUTED_VALUE"""),"Geisler, Norman L.")</f>
        <v>Geisler, Norman L.</v>
      </c>
      <c r="B263" s="12" t="str">
        <f ca="1">IFERROR(__xludf.DUMMYFUNCTION("""COMPUTED_VALUE""")," Norman L. Geisler")</f>
        <v xml:space="preserve"> Norman L. Geisler</v>
      </c>
      <c r="C263" s="12" t="str">
        <f ca="1">IFERROR(__xludf.DUMMYFUNCTION("""COMPUTED_VALUE"""),"From God to Us: How We Got Our Bible")</f>
        <v>From God to Us: How We Got Our Bible</v>
      </c>
      <c r="D263" s="12" t="str">
        <f ca="1">IFERROR(__xludf.DUMMYFUNCTION("""COMPUTED_VALUE"""),"Nix")</f>
        <v>Nix</v>
      </c>
      <c r="E263" s="12" t="str">
        <f ca="1">IFERROR(__xludf.DUMMYFUNCTION("""COMPUTED_VALUE"""),"Book")</f>
        <v>Book</v>
      </c>
      <c r="F263" s="12" t="str">
        <f ca="1">IFERROR(__xludf.DUMMYFUNCTION("""COMPUTED_VALUE"""),"Bible")</f>
        <v>Bible</v>
      </c>
      <c r="G263" s="12"/>
      <c r="H263" s="12"/>
      <c r="I263" s="12"/>
      <c r="J263" s="12"/>
      <c r="K263" s="13">
        <f ca="1">IFERROR(__xludf.DUMMYFUNCTION("""COMPUTED_VALUE"""),40034)</f>
        <v>40034</v>
      </c>
      <c r="L263" s="12"/>
      <c r="M263" s="12"/>
      <c r="N263" s="12" t="str">
        <f ca="1">IFERROR(__xludf.DUMMYFUNCTION("""COMPUTED_VALUE"""),"Table1")</f>
        <v>Table1</v>
      </c>
    </row>
    <row r="264" spans="1:14" ht="15.75" customHeight="1" x14ac:dyDescent="0.35">
      <c r="A264" s="12" t="str">
        <f ca="1">IFERROR(__xludf.DUMMYFUNCTION("""COMPUTED_VALUE"""),"Gembola, Michael Scott")</f>
        <v>Gembola, Michael Scott</v>
      </c>
      <c r="B264" s="12" t="str">
        <f ca="1">IFERROR(__xludf.DUMMYFUNCTION("""COMPUTED_VALUE""")," Michael Scott Gembola")</f>
        <v xml:space="preserve"> Michael Scott Gembola</v>
      </c>
      <c r="C264" s="12" t="str">
        <f ca="1">IFERROR(__xludf.DUMMYFUNCTION("""COMPUTED_VALUE"""),"After an Affair: Pursuing Restoration")</f>
        <v>After an Affair: Pursuing Restoration</v>
      </c>
      <c r="D264" s="12"/>
      <c r="E264" s="12" t="str">
        <f ca="1">IFERROR(__xludf.DUMMYFUNCTION("""COMPUTED_VALUE"""),"Book")</f>
        <v>Book</v>
      </c>
      <c r="F264" s="12" t="str">
        <f ca="1">IFERROR(__xludf.DUMMYFUNCTION("""COMPUTED_VALUE"""),"Understanding Mankind")</f>
        <v>Understanding Mankind</v>
      </c>
      <c r="G264" s="12"/>
      <c r="H264" s="12" t="str">
        <f ca="1">IFERROR(__xludf.DUMMYFUNCTION("""COMPUTED_VALUE"""),"Devotionals")</f>
        <v>Devotionals</v>
      </c>
      <c r="I264" s="12"/>
      <c r="J264" s="12" t="str">
        <f ca="1">IFERROR(__xludf.DUMMYFUNCTION("""COMPUTED_VALUE"""),"Sin")</f>
        <v>Sin</v>
      </c>
      <c r="K264" s="13"/>
      <c r="L264" s="12"/>
      <c r="M264" s="12"/>
      <c r="N264" s="12" t="str">
        <f ca="1">IFERROR(__xludf.DUMMYFUNCTION("""COMPUTED_VALUE"""),"Table1")</f>
        <v>Table1</v>
      </c>
    </row>
    <row r="265" spans="1:14" ht="15.75" customHeight="1" x14ac:dyDescent="0.35">
      <c r="A265" s="12" t="str">
        <f ca="1">IFERROR(__xludf.DUMMYFUNCTION("""COMPUTED_VALUE"""),"George, Timothy")</f>
        <v>George, Timothy</v>
      </c>
      <c r="B265" s="12" t="str">
        <f ca="1">IFERROR(__xludf.DUMMYFUNCTION("""COMPUTED_VALUE""")," Timothy George")</f>
        <v xml:space="preserve"> Timothy George</v>
      </c>
      <c r="C265" s="12" t="str">
        <f ca="1">IFERROR(__xludf.DUMMYFUNCTION("""COMPUTED_VALUE"""),"Theology of the Reformers")</f>
        <v>Theology of the Reformers</v>
      </c>
      <c r="D265" s="12"/>
      <c r="E265" s="12" t="str">
        <f ca="1">IFERROR(__xludf.DUMMYFUNCTION("""COMPUTED_VALUE"""),"Book")</f>
        <v>Book</v>
      </c>
      <c r="F265" s="12" t="str">
        <f ca="1">IFERROR(__xludf.DUMMYFUNCTION("""COMPUTED_VALUE"""),"Church History")</f>
        <v>Church History</v>
      </c>
      <c r="G265" s="12"/>
      <c r="H265" s="12"/>
      <c r="I265" s="12"/>
      <c r="J265" s="12" t="str">
        <f ca="1">IFERROR(__xludf.DUMMYFUNCTION("""COMPUTED_VALUE"""),"History")</f>
        <v>History</v>
      </c>
      <c r="K265" s="13">
        <f ca="1">IFERROR(__xludf.DUMMYFUNCTION("""COMPUTED_VALUE"""),40034)</f>
        <v>40034</v>
      </c>
      <c r="L265" s="12"/>
      <c r="M265" s="12"/>
      <c r="N265" s="12" t="str">
        <f ca="1">IFERROR(__xludf.DUMMYFUNCTION("""COMPUTED_VALUE"""),"Table1")</f>
        <v>Table1</v>
      </c>
    </row>
    <row r="266" spans="1:14" ht="15.75" customHeight="1" x14ac:dyDescent="0.35">
      <c r="A266" s="12" t="str">
        <f ca="1">IFERROR(__xludf.DUMMYFUNCTION("""COMPUTED_VALUE"""),"Getz, Gene A.")</f>
        <v>Getz, Gene A.</v>
      </c>
      <c r="B266" s="12" t="str">
        <f ca="1">IFERROR(__xludf.DUMMYFUNCTION("""COMPUTED_VALUE""")," Gene A. Getz")</f>
        <v xml:space="preserve"> Gene A. Getz</v>
      </c>
      <c r="C266" s="12" t="str">
        <f ca="1">IFERROR(__xludf.DUMMYFUNCTION("""COMPUTED_VALUE"""),"Elders and Leaders")</f>
        <v>Elders and Leaders</v>
      </c>
      <c r="D266" s="12"/>
      <c r="E266" s="12" t="str">
        <f ca="1">IFERROR(__xludf.DUMMYFUNCTION("""COMPUTED_VALUE"""),"Book")</f>
        <v>Book</v>
      </c>
      <c r="F266" s="12" t="str">
        <f ca="1">IFERROR(__xludf.DUMMYFUNCTION("""COMPUTED_VALUE"""),"Church")</f>
        <v>Church</v>
      </c>
      <c r="G266" s="12"/>
      <c r="H266" s="12"/>
      <c r="I266" s="12"/>
      <c r="J266" s="12" t="str">
        <f ca="1">IFERROR(__xludf.DUMMYFUNCTION("""COMPUTED_VALUE"""),"Church Leaders")</f>
        <v>Church Leaders</v>
      </c>
      <c r="K266" s="13">
        <f ca="1">IFERROR(__xludf.DUMMYFUNCTION("""COMPUTED_VALUE"""),40034)</f>
        <v>40034</v>
      </c>
      <c r="L266" s="12"/>
      <c r="M266" s="12"/>
      <c r="N266" s="12" t="str">
        <f ca="1">IFERROR(__xludf.DUMMYFUNCTION("""COMPUTED_VALUE"""),"Table1")</f>
        <v>Table1</v>
      </c>
    </row>
    <row r="267" spans="1:14" ht="15.75" customHeight="1" x14ac:dyDescent="0.35">
      <c r="A267" s="12" t="str">
        <f ca="1">IFERROR(__xludf.DUMMYFUNCTION("""COMPUTED_VALUE"""),"Gibson, David")</f>
        <v>Gibson, David</v>
      </c>
      <c r="B267" s="12" t="str">
        <f ca="1">IFERROR(__xludf.DUMMYFUNCTION("""COMPUTED_VALUE""")," David Gibson")</f>
        <v xml:space="preserve"> David Gibson</v>
      </c>
      <c r="C267" s="12" t="str">
        <f ca="1">IFERROR(__xludf.DUMMYFUNCTION("""COMPUTED_VALUE"""),"Living Life Backward")</f>
        <v>Living Life Backward</v>
      </c>
      <c r="D267" s="12"/>
      <c r="E267" s="12" t="str">
        <f ca="1">IFERROR(__xludf.DUMMYFUNCTION("""COMPUTED_VALUE"""),"Book")</f>
        <v>Book</v>
      </c>
      <c r="F267" s="12" t="str">
        <f ca="1">IFERROR(__xludf.DUMMYFUNCTION("""COMPUTED_VALUE"""),"Discipleship")</f>
        <v>Discipleship</v>
      </c>
      <c r="G267" s="12"/>
      <c r="H267" s="12"/>
      <c r="I267" s="12"/>
      <c r="J267" s="12"/>
      <c r="K267" s="13">
        <f ca="1">IFERROR(__xludf.DUMMYFUNCTION("""COMPUTED_VALUE"""),43095)</f>
        <v>43095</v>
      </c>
      <c r="L267" s="12"/>
      <c r="M267" s="12"/>
      <c r="N267" s="12" t="str">
        <f ca="1">IFERROR(__xludf.DUMMYFUNCTION("""COMPUTED_VALUE"""),"Table1")</f>
        <v>Table1</v>
      </c>
    </row>
    <row r="268" spans="1:14" ht="15.75" customHeight="1" x14ac:dyDescent="0.35">
      <c r="A268" s="12" t="str">
        <f ca="1">IFERROR(__xludf.DUMMYFUNCTION("""COMPUTED_VALUE"""),"Gibson, Jonathan")</f>
        <v>Gibson, Jonathan</v>
      </c>
      <c r="B268" s="12" t="str">
        <f ca="1">IFERROR(__xludf.DUMMYFUNCTION("""COMPUTED_VALUE""")," Jonathan Gibson")</f>
        <v xml:space="preserve"> Jonathan Gibson</v>
      </c>
      <c r="C268" s="12" t="str">
        <f ca="1">IFERROR(__xludf.DUMMYFUNCTION("""COMPUTED_VALUE"""),"The Moon Is Always Round")</f>
        <v>The Moon Is Always Round</v>
      </c>
      <c r="D268" s="12"/>
      <c r="E268" s="12" t="str">
        <f ca="1">IFERROR(__xludf.DUMMYFUNCTION("""COMPUTED_VALUE"""),"Book")</f>
        <v>Book</v>
      </c>
      <c r="F268" s="12" t="str">
        <f ca="1">IFERROR(__xludf.DUMMYFUNCTION("""COMPUTED_VALUE"""),"Children")</f>
        <v>Children</v>
      </c>
      <c r="G268" s="12"/>
      <c r="H268" s="12"/>
      <c r="I268" s="12"/>
      <c r="J268" s="12" t="str">
        <f ca="1">IFERROR(__xludf.DUMMYFUNCTION("""COMPUTED_VALUE"""),"Suffering")</f>
        <v>Suffering</v>
      </c>
      <c r="K268" s="13">
        <f ca="1">IFERROR(__xludf.DUMMYFUNCTION("""COMPUTED_VALUE"""),43832)</f>
        <v>43832</v>
      </c>
      <c r="L268" s="12"/>
      <c r="M268" s="12"/>
      <c r="N268" s="12" t="str">
        <f ca="1">IFERROR(__xludf.DUMMYFUNCTION("""COMPUTED_VALUE"""),"Table1")</f>
        <v>Table1</v>
      </c>
    </row>
    <row r="269" spans="1:14" ht="15.75" customHeight="1" x14ac:dyDescent="0.35">
      <c r="A269" s="12" t="str">
        <f ca="1">IFERROR(__xludf.DUMMYFUNCTION("""COMPUTED_VALUE"""),"Gilbert, Greg")</f>
        <v>Gilbert, Greg</v>
      </c>
      <c r="B269" s="12" t="str">
        <f ca="1">IFERROR(__xludf.DUMMYFUNCTION("""COMPUTED_VALUE""")," Greg Gilbert")</f>
        <v xml:space="preserve"> Greg Gilbert</v>
      </c>
      <c r="C269" s="12" t="str">
        <f ca="1">IFERROR(__xludf.DUMMYFUNCTION("""COMPUTED_VALUE"""),"Assured: Discover Grace, Let Go of Guilt, and Rest in Your Salvation")</f>
        <v>Assured: Discover Grace, Let Go of Guilt, and Rest in Your Salvation</v>
      </c>
      <c r="D269" s="12"/>
      <c r="E269" s="12" t="str">
        <f ca="1">IFERROR(__xludf.DUMMYFUNCTION("""COMPUTED_VALUE"""),"Book")</f>
        <v>Book</v>
      </c>
      <c r="F269" s="12" t="str">
        <f ca="1">IFERROR(__xludf.DUMMYFUNCTION("""COMPUTED_VALUE"""),"Salvation")</f>
        <v>Salvation</v>
      </c>
      <c r="G269" s="12"/>
      <c r="H269" s="12"/>
      <c r="I269" s="12"/>
      <c r="J269" s="12" t="str">
        <f ca="1">IFERROR(__xludf.DUMMYFUNCTION("""COMPUTED_VALUE"""),"Assurance")</f>
        <v>Assurance</v>
      </c>
      <c r="K269" s="13">
        <f ca="1">IFERROR(__xludf.DUMMYFUNCTION("""COMPUTED_VALUE"""),43704)</f>
        <v>43704</v>
      </c>
      <c r="L269" s="12"/>
      <c r="M269" s="12"/>
      <c r="N269" s="12" t="str">
        <f ca="1">IFERROR(__xludf.DUMMYFUNCTION("""COMPUTED_VALUE"""),"Table1")</f>
        <v>Table1</v>
      </c>
    </row>
    <row r="270" spans="1:14" ht="15.75" customHeight="1" x14ac:dyDescent="0.35">
      <c r="A270" s="12" t="str">
        <f ca="1">IFERROR(__xludf.DUMMYFUNCTION("""COMPUTED_VALUE"""),"Gilbert, Greg")</f>
        <v>Gilbert, Greg</v>
      </c>
      <c r="B270" s="12" t="str">
        <f ca="1">IFERROR(__xludf.DUMMYFUNCTION("""COMPUTED_VALUE""")," Greg Gilbert")</f>
        <v xml:space="preserve"> Greg Gilbert</v>
      </c>
      <c r="C270" s="12" t="str">
        <f ca="1">IFERROR(__xludf.DUMMYFUNCTION("""COMPUTED_VALUE"""),"What is the Gospel?")</f>
        <v>What is the Gospel?</v>
      </c>
      <c r="D270" s="12" t="str">
        <f ca="1">IFERROR(__xludf.DUMMYFUNCTION("""COMPUTED_VALUE"""),"9 Marks")</f>
        <v>9 Marks</v>
      </c>
      <c r="E270" s="12" t="str">
        <f ca="1">IFERROR(__xludf.DUMMYFUNCTION("""COMPUTED_VALUE"""),"Book")</f>
        <v>Book</v>
      </c>
      <c r="F270" s="12" t="str">
        <f ca="1">IFERROR(__xludf.DUMMYFUNCTION("""COMPUTED_VALUE"""),"Theology")</f>
        <v>Theology</v>
      </c>
      <c r="G270" s="12"/>
      <c r="H270" s="12" t="str">
        <f ca="1">IFERROR(__xludf.DUMMYFUNCTION("""COMPUTED_VALUE"""),"9 Marks")</f>
        <v>9 Marks</v>
      </c>
      <c r="I270" s="12"/>
      <c r="J270" s="12" t="str">
        <f ca="1">IFERROR(__xludf.DUMMYFUNCTION("""COMPUTED_VALUE"""),"Gospel")</f>
        <v>Gospel</v>
      </c>
      <c r="K270" s="13">
        <f ca="1">IFERROR(__xludf.DUMMYFUNCTION("""COMPUTED_VALUE"""),42503)</f>
        <v>42503</v>
      </c>
      <c r="L270" s="12"/>
      <c r="M270" s="12"/>
      <c r="N270" s="12" t="str">
        <f ca="1">IFERROR(__xludf.DUMMYFUNCTION("""COMPUTED_VALUE"""),"Table1")</f>
        <v>Table1</v>
      </c>
    </row>
    <row r="271" spans="1:14" ht="15.75" customHeight="1" x14ac:dyDescent="0.35">
      <c r="A271" s="12" t="str">
        <f ca="1">IFERROR(__xludf.DUMMYFUNCTION("""COMPUTED_VALUE"""),"Gilbert, Greg")</f>
        <v>Gilbert, Greg</v>
      </c>
      <c r="B271" s="12" t="str">
        <f ca="1">IFERROR(__xludf.DUMMYFUNCTION("""COMPUTED_VALUE""")," Greg Gilbert")</f>
        <v xml:space="preserve"> Greg Gilbert</v>
      </c>
      <c r="C271" s="12" t="str">
        <f ca="1">IFERROR(__xludf.DUMMYFUNCTION("""COMPUTED_VALUE"""),"Why Trust the Bible")</f>
        <v>Why Trust the Bible</v>
      </c>
      <c r="D271" s="12"/>
      <c r="E271" s="12" t="str">
        <f ca="1">IFERROR(__xludf.DUMMYFUNCTION("""COMPUTED_VALUE"""),"Book")</f>
        <v>Book</v>
      </c>
      <c r="F271" s="12" t="str">
        <f ca="1">IFERROR(__xludf.DUMMYFUNCTION("""COMPUTED_VALUE"""),"Bible")</f>
        <v>Bible</v>
      </c>
      <c r="G271" s="12"/>
      <c r="H271" s="12"/>
      <c r="I271" s="12"/>
      <c r="J271" s="12"/>
      <c r="K271" s="13">
        <f ca="1">IFERROR(__xludf.DUMMYFUNCTION("""COMPUTED_VALUE"""),42503)</f>
        <v>42503</v>
      </c>
      <c r="L271" s="12"/>
      <c r="M271" s="12"/>
      <c r="N271" s="12" t="str">
        <f ca="1">IFERROR(__xludf.DUMMYFUNCTION("""COMPUTED_VALUE"""),"Table1")</f>
        <v>Table1</v>
      </c>
    </row>
    <row r="272" spans="1:14" ht="15.75" customHeight="1" x14ac:dyDescent="0.35">
      <c r="A272" s="12" t="str">
        <f ca="1">IFERROR(__xludf.DUMMYFUNCTION("""COMPUTED_VALUE"""),"Gilley, Gary E. ")</f>
        <v xml:space="preserve">Gilley, Gary E. </v>
      </c>
      <c r="B272" s="12" t="str">
        <f ca="1">IFERROR(__xludf.DUMMYFUNCTION("""COMPUTED_VALUE""")," Gary E.  Gilley")</f>
        <v xml:space="preserve"> Gary E.  Gilley</v>
      </c>
      <c r="C272" s="12" t="str">
        <f ca="1">IFERROR(__xludf.DUMMYFUNCTION("""COMPUTED_VALUE"""),"This Little Church Stayed Home: A Faithful Church in Deceptive Times")</f>
        <v>This Little Church Stayed Home: A Faithful Church in Deceptive Times</v>
      </c>
      <c r="D272" s="12"/>
      <c r="E272" s="12" t="str">
        <f ca="1">IFERROR(__xludf.DUMMYFUNCTION("""COMPUTED_VALUE"""),"Book")</f>
        <v>Book</v>
      </c>
      <c r="F272" s="12" t="str">
        <f ca="1">IFERROR(__xludf.DUMMYFUNCTION("""COMPUTED_VALUE"""),"Church")</f>
        <v>Church</v>
      </c>
      <c r="G272" s="12"/>
      <c r="H272" s="12"/>
      <c r="I272" s="12"/>
      <c r="J272" s="12"/>
      <c r="K272" s="13">
        <f ca="1">IFERROR(__xludf.DUMMYFUNCTION("""COMPUTED_VALUE"""),40034)</f>
        <v>40034</v>
      </c>
      <c r="L272" s="12"/>
      <c r="M272" s="12"/>
      <c r="N272" s="12" t="str">
        <f ca="1">IFERROR(__xludf.DUMMYFUNCTION("""COMPUTED_VALUE"""),"Table1")</f>
        <v>Table1</v>
      </c>
    </row>
    <row r="273" spans="1:14" ht="15.75" customHeight="1" x14ac:dyDescent="0.35">
      <c r="A273" s="12" t="str">
        <f ca="1">IFERROR(__xludf.DUMMYFUNCTION("""COMPUTED_VALUE"""),"Gilley, Gary E. ")</f>
        <v xml:space="preserve">Gilley, Gary E. </v>
      </c>
      <c r="B273" s="12" t="str">
        <f ca="1">IFERROR(__xludf.DUMMYFUNCTION("""COMPUTED_VALUE""")," Gary E.  Gilley")</f>
        <v xml:space="preserve"> Gary E.  Gilley</v>
      </c>
      <c r="C273" s="12" t="str">
        <f ca="1">IFERROR(__xludf.DUMMYFUNCTION("""COMPUTED_VALUE"""),"This Little Church Went to Market: The Church in the Age of Entertainment")</f>
        <v>This Little Church Went to Market: The Church in the Age of Entertainment</v>
      </c>
      <c r="D273" s="12"/>
      <c r="E273" s="12" t="str">
        <f ca="1">IFERROR(__xludf.DUMMYFUNCTION("""COMPUTED_VALUE"""),"Book")</f>
        <v>Book</v>
      </c>
      <c r="F273" s="12" t="str">
        <f ca="1">IFERROR(__xludf.DUMMYFUNCTION("""COMPUTED_VALUE"""),"Church")</f>
        <v>Church</v>
      </c>
      <c r="G273" s="12"/>
      <c r="H273" s="12"/>
      <c r="I273" s="12"/>
      <c r="J273" s="12" t="str">
        <f ca="1">IFERROR(__xludf.DUMMYFUNCTION("""COMPUTED_VALUE"""),"Entertainment")</f>
        <v>Entertainment</v>
      </c>
      <c r="K273" s="13">
        <f ca="1">IFERROR(__xludf.DUMMYFUNCTION("""COMPUTED_VALUE"""),40034)</f>
        <v>40034</v>
      </c>
      <c r="L273" s="12"/>
      <c r="M273" s="12"/>
      <c r="N273" s="12" t="str">
        <f ca="1">IFERROR(__xludf.DUMMYFUNCTION("""COMPUTED_VALUE"""),"Table1")</f>
        <v>Table1</v>
      </c>
    </row>
    <row r="274" spans="1:14" ht="15.75" customHeight="1" x14ac:dyDescent="0.35">
      <c r="A274" s="12" t="str">
        <f ca="1">IFERROR(__xludf.DUMMYFUNCTION("""COMPUTED_VALUE"""),"Glenn, R.W.")</f>
        <v>Glenn, R.W.</v>
      </c>
      <c r="B274" s="12" t="str">
        <f ca="1">IFERROR(__xludf.DUMMYFUNCTION("""COMPUTED_VALUE""")," R.W. Glenn")</f>
        <v xml:space="preserve"> R.W. Glenn</v>
      </c>
      <c r="C274" s="12" t="str">
        <f ca="1">IFERROR(__xludf.DUMMYFUNCTION("""COMPUTED_VALUE"""),"Crucifying Morality: The Gospel of the Beatitudes")</f>
        <v>Crucifying Morality: The Gospel of the Beatitudes</v>
      </c>
      <c r="D274" s="12"/>
      <c r="E274" s="12" t="str">
        <f ca="1">IFERROR(__xludf.DUMMYFUNCTION("""COMPUTED_VALUE"""),"Book")</f>
        <v>Book</v>
      </c>
      <c r="F274" s="12" t="str">
        <f ca="1">IFERROR(__xludf.DUMMYFUNCTION("""COMPUTED_VALUE"""),"Theology")</f>
        <v>Theology</v>
      </c>
      <c r="G274" s="12"/>
      <c r="H274" s="12"/>
      <c r="I274" s="12"/>
      <c r="J274" s="12" t="str">
        <f ca="1">IFERROR(__xludf.DUMMYFUNCTION("""COMPUTED_VALUE"""),"Gospel")</f>
        <v>Gospel</v>
      </c>
      <c r="K274" s="13">
        <f ca="1">IFERROR(__xludf.DUMMYFUNCTION("""COMPUTED_VALUE"""),41530)</f>
        <v>41530</v>
      </c>
      <c r="L274" s="12"/>
      <c r="M274" s="12"/>
      <c r="N274" s="12" t="str">
        <f ca="1">IFERROR(__xludf.DUMMYFUNCTION("""COMPUTED_VALUE"""),"Table1")</f>
        <v>Table1</v>
      </c>
    </row>
    <row r="275" spans="1:14" ht="15.75" customHeight="1" x14ac:dyDescent="0.35">
      <c r="A275" s="12" t="str">
        <f ca="1">IFERROR(__xludf.DUMMYFUNCTION("""COMPUTED_VALUE"""),"Godlsworthy, Graeme")</f>
        <v>Godlsworthy, Graeme</v>
      </c>
      <c r="B275" s="12" t="str">
        <f ca="1">IFERROR(__xludf.DUMMYFUNCTION("""COMPUTED_VALUE""")," Graeme Godlsworthy")</f>
        <v xml:space="preserve"> Graeme Godlsworthy</v>
      </c>
      <c r="C275" s="12" t="str">
        <f ca="1">IFERROR(__xludf.DUMMYFUNCTION("""COMPUTED_VALUE"""),"The Son of God and the New Creation")</f>
        <v>The Son of God and the New Creation</v>
      </c>
      <c r="D275" s="12"/>
      <c r="E275" s="12" t="str">
        <f ca="1">IFERROR(__xludf.DUMMYFUNCTION("""COMPUTED_VALUE"""),"Book")</f>
        <v>Book</v>
      </c>
      <c r="F275" s="12" t="str">
        <f ca="1">IFERROR(__xludf.DUMMYFUNCTION("""COMPUTED_VALUE"""),"Theology")</f>
        <v>Theology</v>
      </c>
      <c r="G275" s="12"/>
      <c r="H275" s="12"/>
      <c r="I275" s="12"/>
      <c r="J275" s="12"/>
      <c r="K275" s="13"/>
      <c r="L275" s="12"/>
      <c r="M275" s="12"/>
      <c r="N275" s="12" t="str">
        <f ca="1">IFERROR(__xludf.DUMMYFUNCTION("""COMPUTED_VALUE"""),"Table1")</f>
        <v>Table1</v>
      </c>
    </row>
    <row r="276" spans="1:14" ht="15.75" customHeight="1" x14ac:dyDescent="0.35">
      <c r="A276" s="12" t="str">
        <f ca="1">IFERROR(__xludf.DUMMYFUNCTION("""COMPUTED_VALUE"""),"Goldsworthy, Graeme")</f>
        <v>Goldsworthy, Graeme</v>
      </c>
      <c r="B276" s="12" t="str">
        <f ca="1">IFERROR(__xludf.DUMMYFUNCTION("""COMPUTED_VALUE""")," Graeme Goldsworthy")</f>
        <v xml:space="preserve"> Graeme Goldsworthy</v>
      </c>
      <c r="C276" s="12" t="str">
        <f ca="1">IFERROR(__xludf.DUMMYFUNCTION("""COMPUTED_VALUE"""),"According to Plan: The Unfolding Revelation of God in the Bible")</f>
        <v>According to Plan: The Unfolding Revelation of God in the Bible</v>
      </c>
      <c r="D276" s="12"/>
      <c r="E276" s="12" t="str">
        <f ca="1">IFERROR(__xludf.DUMMYFUNCTION("""COMPUTED_VALUE"""),"Book")</f>
        <v>Book</v>
      </c>
      <c r="F276" s="12" t="str">
        <f ca="1">IFERROR(__xludf.DUMMYFUNCTION("""COMPUTED_VALUE"""),"Theology")</f>
        <v>Theology</v>
      </c>
      <c r="G276" s="12" t="str">
        <f ca="1">IFERROR(__xludf.DUMMYFUNCTION("""COMPUTED_VALUE"""),"Bible?")</f>
        <v>Bible?</v>
      </c>
      <c r="H276" s="12"/>
      <c r="I276" s="12"/>
      <c r="J276" s="12"/>
      <c r="K276" s="13">
        <f ca="1">IFERROR(__xludf.DUMMYFUNCTION("""COMPUTED_VALUE"""),41591)</f>
        <v>41591</v>
      </c>
      <c r="L276" s="12"/>
      <c r="M276" s="12"/>
      <c r="N276" s="12" t="str">
        <f ca="1">IFERROR(__xludf.DUMMYFUNCTION("""COMPUTED_VALUE"""),"Table1")</f>
        <v>Table1</v>
      </c>
    </row>
    <row r="277" spans="1:14" ht="15.75" customHeight="1" x14ac:dyDescent="0.35">
      <c r="A277" s="12" t="str">
        <f ca="1">IFERROR(__xludf.DUMMYFUNCTION("""COMPUTED_VALUE"""),"Gordon, T. David")</f>
        <v>Gordon, T. David</v>
      </c>
      <c r="B277" s="12" t="str">
        <f ca="1">IFERROR(__xludf.DUMMYFUNCTION("""COMPUTED_VALUE""")," T. David Gordon")</f>
        <v xml:space="preserve"> T. David Gordon</v>
      </c>
      <c r="C277" s="12" t="str">
        <f ca="1">IFERROR(__xludf.DUMMYFUNCTION("""COMPUTED_VALUE"""),"Why Johnny Can't Preach: The Media Have Shaped the Messengers")</f>
        <v>Why Johnny Can't Preach: The Media Have Shaped the Messengers</v>
      </c>
      <c r="D277" s="12"/>
      <c r="E277" s="12" t="str">
        <f ca="1">IFERROR(__xludf.DUMMYFUNCTION("""COMPUTED_VALUE"""),"Book")</f>
        <v>Book</v>
      </c>
      <c r="F277" s="12" t="str">
        <f ca="1">IFERROR(__xludf.DUMMYFUNCTION("""COMPUTED_VALUE"""),"Worldview")</f>
        <v>Worldview</v>
      </c>
      <c r="G277" s="12"/>
      <c r="H277" s="12"/>
      <c r="I277" s="12"/>
      <c r="J277" s="12" t="str">
        <f ca="1">IFERROR(__xludf.DUMMYFUNCTION("""COMPUTED_VALUE"""),"Church Leaders")</f>
        <v>Church Leaders</v>
      </c>
      <c r="K277" s="13">
        <f ca="1">IFERROR(__xludf.DUMMYFUNCTION("""COMPUTED_VALUE"""),40247)</f>
        <v>40247</v>
      </c>
      <c r="L277" s="12"/>
      <c r="M277" s="12"/>
      <c r="N277" s="12" t="str">
        <f ca="1">IFERROR(__xludf.DUMMYFUNCTION("""COMPUTED_VALUE"""),"Table1")</f>
        <v>Table1</v>
      </c>
    </row>
    <row r="278" spans="1:14" ht="15.75" customHeight="1" x14ac:dyDescent="0.35">
      <c r="A278" s="12" t="str">
        <f ca="1">IFERROR(__xludf.DUMMYFUNCTION("""COMPUTED_VALUE"""),"Gordon, T. David")</f>
        <v>Gordon, T. David</v>
      </c>
      <c r="B278" s="12" t="str">
        <f ca="1">IFERROR(__xludf.DUMMYFUNCTION("""COMPUTED_VALUE""")," T. David Gordon")</f>
        <v xml:space="preserve"> T. David Gordon</v>
      </c>
      <c r="C278" s="12" t="str">
        <f ca="1">IFERROR(__xludf.DUMMYFUNCTION("""COMPUTED_VALUE"""),"Why Johnny Can't Sing Hymns: The Media Have Shaped the Messengers")</f>
        <v>Why Johnny Can't Sing Hymns: The Media Have Shaped the Messengers</v>
      </c>
      <c r="D278" s="12"/>
      <c r="E278" s="12" t="str">
        <f ca="1">IFERROR(__xludf.DUMMYFUNCTION("""COMPUTED_VALUE"""),"Book")</f>
        <v>Book</v>
      </c>
      <c r="F278" s="12" t="str">
        <f ca="1">IFERROR(__xludf.DUMMYFUNCTION("""COMPUTED_VALUE"""),"Worldview")</f>
        <v>Worldview</v>
      </c>
      <c r="G278" s="12"/>
      <c r="H278" s="12"/>
      <c r="I278" s="12"/>
      <c r="J278" s="12" t="str">
        <f ca="1">IFERROR(__xludf.DUMMYFUNCTION("""COMPUTED_VALUE"""),"Worship, Music")</f>
        <v>Worship, Music</v>
      </c>
      <c r="K278" s="13">
        <f ca="1">IFERROR(__xludf.DUMMYFUNCTION("""COMPUTED_VALUE"""),40238)</f>
        <v>40238</v>
      </c>
      <c r="L278" s="12"/>
      <c r="M278" s="12"/>
      <c r="N278" s="12" t="str">
        <f ca="1">IFERROR(__xludf.DUMMYFUNCTION("""COMPUTED_VALUE"""),"Table1")</f>
        <v>Table1</v>
      </c>
    </row>
    <row r="279" spans="1:14" ht="15.75" customHeight="1" x14ac:dyDescent="0.35">
      <c r="A279" s="12" t="str">
        <f ca="1">IFERROR(__xludf.DUMMYFUNCTION("""COMPUTED_VALUE"""),"Green, Joel B")</f>
        <v>Green, Joel B</v>
      </c>
      <c r="B279" s="12" t="str">
        <f ca="1">IFERROR(__xludf.DUMMYFUNCTION("""COMPUTED_VALUE""")," Joel B Green")</f>
        <v xml:space="preserve"> Joel B Green</v>
      </c>
      <c r="C279" s="12" t="str">
        <f ca="1">IFERROR(__xludf.DUMMYFUNCTION("""COMPUTED_VALUE"""),"The Gospel of Luke")</f>
        <v>The Gospel of Luke</v>
      </c>
      <c r="D279" s="12"/>
      <c r="E279" s="12" t="str">
        <f ca="1">IFERROR(__xludf.DUMMYFUNCTION("""COMPUTED_VALUE"""),"Book")</f>
        <v>Book</v>
      </c>
      <c r="F279" s="12" t="str">
        <f ca="1">IFERROR(__xludf.DUMMYFUNCTION("""COMPUTED_VALUE"""),"Reference")</f>
        <v>Reference</v>
      </c>
      <c r="G279" s="12"/>
      <c r="H279" s="12"/>
      <c r="I279" s="12"/>
      <c r="J279" s="12"/>
      <c r="K279" s="13">
        <f ca="1">IFERROR(__xludf.DUMMYFUNCTION("""COMPUTED_VALUE"""),41346)</f>
        <v>41346</v>
      </c>
      <c r="L279" s="12"/>
      <c r="M279" s="12"/>
      <c r="N279" s="12" t="str">
        <f ca="1">IFERROR(__xludf.DUMMYFUNCTION("""COMPUTED_VALUE"""),"Table1")</f>
        <v>Table1</v>
      </c>
    </row>
    <row r="280" spans="1:14" ht="15.75" customHeight="1" x14ac:dyDescent="0.35">
      <c r="A280" s="12" t="str">
        <f ca="1">IFERROR(__xludf.DUMMYFUNCTION("""COMPUTED_VALUE"""),"Greidanus, Sidney")</f>
        <v>Greidanus, Sidney</v>
      </c>
      <c r="B280" s="12" t="str">
        <f ca="1">IFERROR(__xludf.DUMMYFUNCTION("""COMPUTED_VALUE""")," Sidney Greidanus")</f>
        <v xml:space="preserve"> Sidney Greidanus</v>
      </c>
      <c r="C280" s="12" t="str">
        <f ca="1">IFERROR(__xludf.DUMMYFUNCTION("""COMPUTED_VALUE"""),"From Chaos to Cosmos: Creation to New Creation")</f>
        <v>From Chaos to Cosmos: Creation to New Creation</v>
      </c>
      <c r="D280" s="12"/>
      <c r="E280" s="12" t="str">
        <f ca="1">IFERROR(__xludf.DUMMYFUNCTION("""COMPUTED_VALUE"""),"Book")</f>
        <v>Book</v>
      </c>
      <c r="F280" s="12" t="str">
        <f ca="1">IFERROR(__xludf.DUMMYFUNCTION("""COMPUTED_VALUE"""),"Theology")</f>
        <v>Theology</v>
      </c>
      <c r="G280" s="12"/>
      <c r="H280" s="12"/>
      <c r="I280" s="12"/>
      <c r="J280" s="12"/>
      <c r="K280" s="13"/>
      <c r="L280" s="12"/>
      <c r="M280" s="12"/>
      <c r="N280" s="12" t="str">
        <f ca="1">IFERROR(__xludf.DUMMYFUNCTION("""COMPUTED_VALUE"""),"Table1")</f>
        <v>Table1</v>
      </c>
    </row>
    <row r="281" spans="1:14" ht="15.75" customHeight="1" x14ac:dyDescent="0.35">
      <c r="A281" s="12" t="str">
        <f ca="1">IFERROR(__xludf.DUMMYFUNCTION("""COMPUTED_VALUE"""),"Groves, J. Alasdair")</f>
        <v>Groves, J. Alasdair</v>
      </c>
      <c r="B281" s="12" t="str">
        <f ca="1">IFERROR(__xludf.DUMMYFUNCTION("""COMPUTED_VALUE""")," J. Alasdair Groves")</f>
        <v xml:space="preserve"> J. Alasdair Groves</v>
      </c>
      <c r="C281" s="12" t="str">
        <f ca="1">IFERROR(__xludf.DUMMYFUNCTION("""COMPUTED_VALUE"""),"Untangling Emotions: ""God's Gift of Emotions""")</f>
        <v>Untangling Emotions: "God's Gift of Emotions"</v>
      </c>
      <c r="D281" s="12" t="str">
        <f ca="1">IFERROR(__xludf.DUMMYFUNCTION("""COMPUTED_VALUE"""),"Smith, Winston T.")</f>
        <v>Smith, Winston T.</v>
      </c>
      <c r="E281" s="12" t="str">
        <f ca="1">IFERROR(__xludf.DUMMYFUNCTION("""COMPUTED_VALUE"""),"Book")</f>
        <v>Book</v>
      </c>
      <c r="F281" s="12" t="str">
        <f ca="1">IFERROR(__xludf.DUMMYFUNCTION("""COMPUTED_VALUE"""),"Understanding Mankind")</f>
        <v>Understanding Mankind</v>
      </c>
      <c r="G281" s="12"/>
      <c r="H281" s="12"/>
      <c r="I281" s="12"/>
      <c r="J281" s="12" t="str">
        <f ca="1">IFERROR(__xludf.DUMMYFUNCTION("""COMPUTED_VALUE"""),"Emotions")</f>
        <v>Emotions</v>
      </c>
      <c r="K281" s="13">
        <f ca="1">IFERROR(__xludf.DUMMYFUNCTION("""COMPUTED_VALUE"""),43704)</f>
        <v>43704</v>
      </c>
      <c r="L281" s="12"/>
      <c r="M281" s="12"/>
      <c r="N281" s="12" t="str">
        <f ca="1">IFERROR(__xludf.DUMMYFUNCTION("""COMPUTED_VALUE"""),"Table1")</f>
        <v>Table1</v>
      </c>
    </row>
    <row r="282" spans="1:14" ht="15.75" customHeight="1" x14ac:dyDescent="0.35">
      <c r="A282" s="12" t="str">
        <f ca="1">IFERROR(__xludf.DUMMYFUNCTION("""COMPUTED_VALUE"""),"Grudem, Collins, Schreiner")</f>
        <v>Grudem, Collins, Schreiner</v>
      </c>
      <c r="B282" s="12" t="str">
        <f ca="1">IFERROR(__xludf.DUMMYFUNCTION("""COMPUTED_VALUE"""),"Grudem, Collins, Schreiner")</f>
        <v>Grudem, Collins, Schreiner</v>
      </c>
      <c r="C282" s="12" t="str">
        <f ca="1">IFERROR(__xludf.DUMMYFUNCTION("""COMPUTED_VALUE"""),"Understanding Scripture")</f>
        <v>Understanding Scripture</v>
      </c>
      <c r="D282" s="12"/>
      <c r="E282" s="12" t="str">
        <f ca="1">IFERROR(__xludf.DUMMYFUNCTION("""COMPUTED_VALUE"""),"Book")</f>
        <v>Book</v>
      </c>
      <c r="F282" s="12" t="str">
        <f ca="1">IFERROR(__xludf.DUMMYFUNCTION("""COMPUTED_VALUE"""),"Bible")</f>
        <v>Bible</v>
      </c>
      <c r="G282" s="12"/>
      <c r="H282" s="12"/>
      <c r="I282" s="12"/>
      <c r="J282" s="12"/>
      <c r="K282" s="13">
        <f ca="1">IFERROR(__xludf.DUMMYFUNCTION("""COMPUTED_VALUE"""),41804)</f>
        <v>41804</v>
      </c>
      <c r="L282" s="12"/>
      <c r="M282" s="12"/>
      <c r="N282" s="12" t="str">
        <f ca="1">IFERROR(__xludf.DUMMYFUNCTION("""COMPUTED_VALUE"""),"Table1")</f>
        <v>Table1</v>
      </c>
    </row>
    <row r="283" spans="1:14" ht="15.75" customHeight="1" x14ac:dyDescent="0.35">
      <c r="A283" s="12" t="str">
        <f ca="1">IFERROR(__xludf.DUMMYFUNCTION("""COMPUTED_VALUE"""),"Grudem, Wayne")</f>
        <v>Grudem, Wayne</v>
      </c>
      <c r="B283" s="12" t="str">
        <f ca="1">IFERROR(__xludf.DUMMYFUNCTION("""COMPUTED_VALUE""")," Wayne Grudem")</f>
        <v xml:space="preserve"> Wayne Grudem</v>
      </c>
      <c r="C283" s="12" t="str">
        <f ca="1">IFERROR(__xludf.DUMMYFUNCTION("""COMPUTED_VALUE"""),"Evangelical Feminism and Biblical Truth")</f>
        <v>Evangelical Feminism and Biblical Truth</v>
      </c>
      <c r="D283" s="12"/>
      <c r="E283" s="12" t="str">
        <f ca="1">IFERROR(__xludf.DUMMYFUNCTION("""COMPUTED_VALUE"""),"Book")</f>
        <v>Book</v>
      </c>
      <c r="F283" s="12" t="str">
        <f ca="1">IFERROR(__xludf.DUMMYFUNCTION("""COMPUTED_VALUE"""),"Understanding Mankind")</f>
        <v>Understanding Mankind</v>
      </c>
      <c r="G283" s="12"/>
      <c r="H283" s="12"/>
      <c r="I283" s="12"/>
      <c r="J283" s="12" t="str">
        <f ca="1">IFERROR(__xludf.DUMMYFUNCTION("""COMPUTED_VALUE"""),"Christian Women, Feminism")</f>
        <v>Christian Women, Feminism</v>
      </c>
      <c r="K283" s="13">
        <f ca="1">IFERROR(__xludf.DUMMYFUNCTION("""COMPUTED_VALUE"""),41530)</f>
        <v>41530</v>
      </c>
      <c r="L283" s="12"/>
      <c r="M283" s="12"/>
      <c r="N283" s="12" t="str">
        <f ca="1">IFERROR(__xludf.DUMMYFUNCTION("""COMPUTED_VALUE"""),"Table1")</f>
        <v>Table1</v>
      </c>
    </row>
    <row r="284" spans="1:14" ht="15.75" customHeight="1" x14ac:dyDescent="0.35">
      <c r="A284" s="12" t="str">
        <f ca="1">IFERROR(__xludf.DUMMYFUNCTION("""COMPUTED_VALUE"""),"Grudem, Wayne")</f>
        <v>Grudem, Wayne</v>
      </c>
      <c r="B284" s="12" t="str">
        <f ca="1">IFERROR(__xludf.DUMMYFUNCTION("""COMPUTED_VALUE""")," Wayne Grudem")</f>
        <v xml:space="preserve"> Wayne Grudem</v>
      </c>
      <c r="C284" s="12" t="str">
        <f ca="1">IFERROR(__xludf.DUMMYFUNCTION("""COMPUTED_VALUE"""),"Politics According to the Bible")</f>
        <v>Politics According to the Bible</v>
      </c>
      <c r="D284" s="12"/>
      <c r="E284" s="12" t="str">
        <f ca="1">IFERROR(__xludf.DUMMYFUNCTION("""COMPUTED_VALUE"""),"Book")</f>
        <v>Book</v>
      </c>
      <c r="F284" s="12" t="str">
        <f ca="1">IFERROR(__xludf.DUMMYFUNCTION("""COMPUTED_VALUE"""),"Worldview")</f>
        <v>Worldview</v>
      </c>
      <c r="G284" s="12"/>
      <c r="H284" s="12"/>
      <c r="I284" s="12"/>
      <c r="J284" s="12" t="str">
        <f ca="1">IFERROR(__xludf.DUMMYFUNCTION("""COMPUTED_VALUE"""),"Politics")</f>
        <v>Politics</v>
      </c>
      <c r="K284" s="13"/>
      <c r="L284" s="12"/>
      <c r="M284" s="12"/>
      <c r="N284" s="12" t="str">
        <f ca="1">IFERROR(__xludf.DUMMYFUNCTION("""COMPUTED_VALUE"""),"Table1")</f>
        <v>Table1</v>
      </c>
    </row>
    <row r="285" spans="1:14" ht="15.75" customHeight="1" x14ac:dyDescent="0.35">
      <c r="A285" s="12" t="str">
        <f ca="1">IFERROR(__xludf.DUMMYFUNCTION("""COMPUTED_VALUE"""),"Grudem, Wayne")</f>
        <v>Grudem, Wayne</v>
      </c>
      <c r="B285" s="12" t="str">
        <f ca="1">IFERROR(__xludf.DUMMYFUNCTION("""COMPUTED_VALUE""")," Wayne Grudem")</f>
        <v xml:space="preserve"> Wayne Grudem</v>
      </c>
      <c r="C285" s="12" t="str">
        <f ca="1">IFERROR(__xludf.DUMMYFUNCTION("""COMPUTED_VALUE"""),"Systematic Theology")</f>
        <v>Systematic Theology</v>
      </c>
      <c r="D285" s="12"/>
      <c r="E285" s="12" t="str">
        <f ca="1">IFERROR(__xludf.DUMMYFUNCTION("""COMPUTED_VALUE"""),"Book")</f>
        <v>Book</v>
      </c>
      <c r="F285" s="12" t="str">
        <f ca="1">IFERROR(__xludf.DUMMYFUNCTION("""COMPUTED_VALUE"""),"Reference")</f>
        <v>Reference</v>
      </c>
      <c r="G285" s="12"/>
      <c r="H285" s="12"/>
      <c r="I285" s="12"/>
      <c r="J285" s="12"/>
      <c r="K285" s="13">
        <f ca="1">IFERROR(__xludf.DUMMYFUNCTION("""COMPUTED_VALUE"""),40034)</f>
        <v>40034</v>
      </c>
      <c r="L285" s="12"/>
      <c r="M285" s="12"/>
      <c r="N285" s="12" t="str">
        <f ca="1">IFERROR(__xludf.DUMMYFUNCTION("""COMPUTED_VALUE"""),"Table1")</f>
        <v>Table1</v>
      </c>
    </row>
    <row r="286" spans="1:14" ht="15.75" customHeight="1" x14ac:dyDescent="0.35">
      <c r="A286" s="12" t="str">
        <f ca="1">IFERROR(__xludf.DUMMYFUNCTION("""COMPUTED_VALUE"""),"Grudem, Wayne (editors)")</f>
        <v>Grudem, Wayne (editors)</v>
      </c>
      <c r="B286" s="12" t="str">
        <f ca="1">IFERROR(__xludf.DUMMYFUNCTION("""COMPUTED_VALUE""")," Wayne (editors) Grudem")</f>
        <v xml:space="preserve"> Wayne (editors) Grudem</v>
      </c>
      <c r="C286" s="12" t="str">
        <f ca="1">IFERROR(__xludf.DUMMYFUNCTION("""COMPUTED_VALUE"""),"Understanding the Big Picture of the Bible")</f>
        <v>Understanding the Big Picture of the Bible</v>
      </c>
      <c r="D286" s="12" t="str">
        <f ca="1">IFERROR(__xludf.DUMMYFUNCTION("""COMPUTED_VALUE""")," Collins  Shreiner")</f>
        <v xml:space="preserve"> Collins  Shreiner</v>
      </c>
      <c r="E286" s="12" t="str">
        <f ca="1">IFERROR(__xludf.DUMMYFUNCTION("""COMPUTED_VALUE"""),"Book")</f>
        <v>Book</v>
      </c>
      <c r="F286" s="12" t="str">
        <f ca="1">IFERROR(__xludf.DUMMYFUNCTION("""COMPUTED_VALUE"""),"Bible")</f>
        <v>Bible</v>
      </c>
      <c r="G286" s="12"/>
      <c r="H286" s="12"/>
      <c r="I286" s="12"/>
      <c r="J286" s="12"/>
      <c r="K286" s="13">
        <f ca="1">IFERROR(__xludf.DUMMYFUNCTION("""COMPUTED_VALUE"""),41102)</f>
        <v>41102</v>
      </c>
      <c r="L286" s="12"/>
      <c r="M286" s="12"/>
      <c r="N286" s="12" t="str">
        <f ca="1">IFERROR(__xludf.DUMMYFUNCTION("""COMPUTED_VALUE"""),"Table1")</f>
        <v>Table1</v>
      </c>
    </row>
    <row r="287" spans="1:14" ht="15.75" customHeight="1" x14ac:dyDescent="0.35">
      <c r="A287" s="12" t="str">
        <f ca="1">IFERROR(__xludf.DUMMYFUNCTION("""COMPUTED_VALUE"""),"Grudem, Wayne; Piper, John")</f>
        <v>Grudem, Wayne; Piper, John</v>
      </c>
      <c r="B287" s="12" t="str">
        <f ca="1">IFERROR(__xludf.DUMMYFUNCTION("""COMPUTED_VALUE""")," Wayne Grudem; John Piper")</f>
        <v xml:space="preserve"> Wayne Grudem; John Piper</v>
      </c>
      <c r="C287" s="12" t="str">
        <f ca="1">IFERROR(__xludf.DUMMYFUNCTION("""COMPUTED_VALUE"""),"Recovering Biblical Manhood and Womanhood: A Response to Evangelical Feminism")</f>
        <v>Recovering Biblical Manhood and Womanhood: A Response to Evangelical Feminism</v>
      </c>
      <c r="D287" s="12" t="str">
        <f ca="1">IFERROR(__xludf.DUMMYFUNCTION("""COMPUTED_VALUE"""),"Piper")</f>
        <v>Piper</v>
      </c>
      <c r="E287" s="12" t="str">
        <f ca="1">IFERROR(__xludf.DUMMYFUNCTION("""COMPUTED_VALUE"""),"Book")</f>
        <v>Book</v>
      </c>
      <c r="F287" s="12" t="str">
        <f ca="1">IFERROR(__xludf.DUMMYFUNCTION("""COMPUTED_VALUE"""),"Understanding Mankind")</f>
        <v>Understanding Mankind</v>
      </c>
      <c r="G287" s="12"/>
      <c r="H287" s="12"/>
      <c r="I287" s="12"/>
      <c r="J287" s="12" t="str">
        <f ca="1">IFERROR(__xludf.DUMMYFUNCTION("""COMPUTED_VALUE"""),"Gender Roles, Feminism")</f>
        <v>Gender Roles, Feminism</v>
      </c>
      <c r="K287" s="13">
        <f ca="1">IFERROR(__xludf.DUMMYFUNCTION("""COMPUTED_VALUE"""),40034)</f>
        <v>40034</v>
      </c>
      <c r="L287" s="12"/>
      <c r="M287" s="12"/>
      <c r="N287" s="12" t="str">
        <f ca="1">IFERROR(__xludf.DUMMYFUNCTION("""COMPUTED_VALUE"""),"Table1")</f>
        <v>Table1</v>
      </c>
    </row>
    <row r="288" spans="1:14" ht="15.75" customHeight="1" x14ac:dyDescent="0.35">
      <c r="A288" s="12" t="str">
        <f ca="1">IFERROR(__xludf.DUMMYFUNCTION("""COMPUTED_VALUE"""),"Guinness, Os")</f>
        <v>Guinness, Os</v>
      </c>
      <c r="B288" s="12" t="str">
        <f ca="1">IFERROR(__xludf.DUMMYFUNCTION("""COMPUTED_VALUE""")," Os Guinness")</f>
        <v xml:space="preserve"> Os Guinness</v>
      </c>
      <c r="C288" s="12" t="str">
        <f ca="1">IFERROR(__xludf.DUMMYFUNCTION("""COMPUTED_VALUE"""),"Fool's Talk: Recovering the Art of Christian Persuasion")</f>
        <v>Fool's Talk: Recovering the Art of Christian Persuasion</v>
      </c>
      <c r="D288" s="12"/>
      <c r="E288" s="12" t="str">
        <f ca="1">IFERROR(__xludf.DUMMYFUNCTION("""COMPUTED_VALUE"""),"Book")</f>
        <v>Book</v>
      </c>
      <c r="F288" s="12" t="str">
        <f ca="1">IFERROR(__xludf.DUMMYFUNCTION("""COMPUTED_VALUE"""),"Theology")</f>
        <v>Theology</v>
      </c>
      <c r="G288" s="12" t="str">
        <f ca="1">IFERROR(__xludf.DUMMYFUNCTION("""COMPUTED_VALUE"""),"Discipleship")</f>
        <v>Discipleship</v>
      </c>
      <c r="H288" s="12"/>
      <c r="I288" s="12"/>
      <c r="J288" s="12" t="str">
        <f ca="1">IFERROR(__xludf.DUMMYFUNCTION("""COMPUTED_VALUE"""),"Evangelism, Apologetics")</f>
        <v>Evangelism, Apologetics</v>
      </c>
      <c r="K288" s="13">
        <f ca="1">IFERROR(__xludf.DUMMYFUNCTION("""COMPUTED_VALUE"""),42309)</f>
        <v>42309</v>
      </c>
      <c r="L288" s="12"/>
      <c r="M288" s="12"/>
      <c r="N288" s="12" t="str">
        <f ca="1">IFERROR(__xludf.DUMMYFUNCTION("""COMPUTED_VALUE"""),"Table1")</f>
        <v>Table1</v>
      </c>
    </row>
    <row r="289" spans="1:14" ht="15.75" customHeight="1" x14ac:dyDescent="0.35">
      <c r="A289" s="12" t="str">
        <f ca="1">IFERROR(__xludf.DUMMYFUNCTION("""COMPUTED_VALUE"""),"Guthrie, Nancy")</f>
        <v>Guthrie, Nancy</v>
      </c>
      <c r="B289" s="12" t="str">
        <f ca="1">IFERROR(__xludf.DUMMYFUNCTION("""COMPUTED_VALUE""")," Nancy Guthrie")</f>
        <v xml:space="preserve"> Nancy Guthrie</v>
      </c>
      <c r="C289" s="12" t="str">
        <f ca="1">IFERROR(__xludf.DUMMYFUNCTION("""COMPUTED_VALUE"""),"Be Still, My Soul: Embracing God's Purpose and Provision in Suffering")</f>
        <v>Be Still, My Soul: Embracing God's Purpose and Provision in Suffering</v>
      </c>
      <c r="D289" s="12"/>
      <c r="E289" s="12" t="str">
        <f ca="1">IFERROR(__xludf.DUMMYFUNCTION("""COMPUTED_VALUE"""),"Book")</f>
        <v>Book</v>
      </c>
      <c r="F289" s="12" t="str">
        <f ca="1">IFERROR(__xludf.DUMMYFUNCTION("""COMPUTED_VALUE"""),"Understanding Mankind")</f>
        <v>Understanding Mankind</v>
      </c>
      <c r="G289" s="12"/>
      <c r="H289" s="12"/>
      <c r="I289" s="12"/>
      <c r="J289" s="12" t="str">
        <f ca="1">IFERROR(__xludf.DUMMYFUNCTION("""COMPUTED_VALUE"""),"Suffering")</f>
        <v>Suffering</v>
      </c>
      <c r="K289" s="13">
        <f ca="1">IFERROR(__xludf.DUMMYFUNCTION("""COMPUTED_VALUE"""),42677)</f>
        <v>42677</v>
      </c>
      <c r="L289" s="12"/>
      <c r="M289" s="12"/>
      <c r="N289" s="12" t="str">
        <f ca="1">IFERROR(__xludf.DUMMYFUNCTION("""COMPUTED_VALUE"""),"Table1")</f>
        <v>Table1</v>
      </c>
    </row>
    <row r="290" spans="1:14" ht="15.75" customHeight="1" x14ac:dyDescent="0.35">
      <c r="A290" s="12" t="str">
        <f ca="1">IFERROR(__xludf.DUMMYFUNCTION("""COMPUTED_VALUE"""),"Guthrie, Nancy")</f>
        <v>Guthrie, Nancy</v>
      </c>
      <c r="B290" s="12" t="str">
        <f ca="1">IFERROR(__xludf.DUMMYFUNCTION("""COMPUTED_VALUE""")," Nancy Guthrie")</f>
        <v xml:space="preserve"> Nancy Guthrie</v>
      </c>
      <c r="C290" s="12" t="str">
        <f ca="1">IFERROR(__xludf.DUMMYFUNCTION("""COMPUTED_VALUE"""),"Even Better Than Eden")</f>
        <v>Even Better Than Eden</v>
      </c>
      <c r="D290" s="12"/>
      <c r="E290" s="12" t="str">
        <f ca="1">IFERROR(__xludf.DUMMYFUNCTION("""COMPUTED_VALUE"""),"Book")</f>
        <v>Book</v>
      </c>
      <c r="F290" s="12" t="str">
        <f ca="1">IFERROR(__xludf.DUMMYFUNCTION("""COMPUTED_VALUE"""),"Discipleship")</f>
        <v>Discipleship</v>
      </c>
      <c r="G290" s="12"/>
      <c r="H290" s="12"/>
      <c r="I290" s="12"/>
      <c r="J290" s="12"/>
      <c r="K290" s="13"/>
      <c r="L290" s="12"/>
      <c r="M290" s="12"/>
      <c r="N290" s="12" t="str">
        <f ca="1">IFERROR(__xludf.DUMMYFUNCTION("""COMPUTED_VALUE"""),"Table1")</f>
        <v>Table1</v>
      </c>
    </row>
    <row r="291" spans="1:14" ht="15.75" customHeight="1" x14ac:dyDescent="0.35">
      <c r="A291" s="12" t="str">
        <f ca="1">IFERROR(__xludf.DUMMYFUNCTION("""COMPUTED_VALUE"""),"Guthrie, Nancy")</f>
        <v>Guthrie, Nancy</v>
      </c>
      <c r="B291" s="12" t="str">
        <f ca="1">IFERROR(__xludf.DUMMYFUNCTION("""COMPUTED_VALUE""")," Nancy Guthrie")</f>
        <v xml:space="preserve"> Nancy Guthrie</v>
      </c>
      <c r="C291" s="12" t="str">
        <f ca="1">IFERROR(__xludf.DUMMYFUNCTION("""COMPUTED_VALUE"""),"I'm Praying for You: 40 Days of Praying the Bible for Someone Who Is Suffering")</f>
        <v>I'm Praying for You: 40 Days of Praying the Bible for Someone Who Is Suffering</v>
      </c>
      <c r="D291" s="12"/>
      <c r="E291" s="12" t="str">
        <f ca="1">IFERROR(__xludf.DUMMYFUNCTION("""COMPUTED_VALUE"""),"Book")</f>
        <v>Book</v>
      </c>
      <c r="F291" s="12" t="str">
        <f ca="1">IFERROR(__xludf.DUMMYFUNCTION("""COMPUTED_VALUE"""),"Understanding Mankind")</f>
        <v>Understanding Mankind</v>
      </c>
      <c r="G291" s="12"/>
      <c r="H291" s="12"/>
      <c r="I291" s="12"/>
      <c r="J291" s="12" t="str">
        <f ca="1">IFERROR(__xludf.DUMMYFUNCTION("""COMPUTED_VALUE"""),"Suffering, Prayer")</f>
        <v>Suffering, Prayer</v>
      </c>
      <c r="K291" s="13">
        <f ca="1">IFERROR(__xludf.DUMMYFUNCTION("""COMPUTED_VALUE"""),44423)</f>
        <v>44423</v>
      </c>
      <c r="L291" s="12"/>
      <c r="M291" s="12"/>
      <c r="N291" s="12" t="str">
        <f ca="1">IFERROR(__xludf.DUMMYFUNCTION("""COMPUTED_VALUE"""),"Table1")</f>
        <v>Table1</v>
      </c>
    </row>
    <row r="292" spans="1:14" ht="15.75" customHeight="1" x14ac:dyDescent="0.35">
      <c r="A292" s="12" t="str">
        <f ca="1">IFERROR(__xludf.DUMMYFUNCTION("""COMPUTED_VALUE"""),"Guthrie, Nancy")</f>
        <v>Guthrie, Nancy</v>
      </c>
      <c r="B292" s="12" t="str">
        <f ca="1">IFERROR(__xludf.DUMMYFUNCTION("""COMPUTED_VALUE""")," Nancy Guthrie")</f>
        <v xml:space="preserve"> Nancy Guthrie</v>
      </c>
      <c r="C292" s="12" t="str">
        <f ca="1">IFERROR(__xludf.DUMMYFUNCTION("""COMPUTED_VALUE"""),"O Love That Will Not Let Me Go")</f>
        <v>O Love That Will Not Let Me Go</v>
      </c>
      <c r="D292" s="12"/>
      <c r="E292" s="12" t="str">
        <f ca="1">IFERROR(__xludf.DUMMYFUNCTION("""COMPUTED_VALUE"""),"Book")</f>
        <v>Book</v>
      </c>
      <c r="F292" s="12" t="str">
        <f ca="1">IFERROR(__xludf.DUMMYFUNCTION("""COMPUTED_VALUE"""),"Discipleship")</f>
        <v>Discipleship</v>
      </c>
      <c r="G292" s="12"/>
      <c r="H292" s="12"/>
      <c r="I292" s="12"/>
      <c r="J292" s="12"/>
      <c r="K292" s="13"/>
      <c r="L292" s="12"/>
      <c r="M292" s="12"/>
      <c r="N292" s="12" t="str">
        <f ca="1">IFERROR(__xludf.DUMMYFUNCTION("""COMPUTED_VALUE"""),"Table1")</f>
        <v>Table1</v>
      </c>
    </row>
    <row r="293" spans="1:14" ht="15.75" customHeight="1" x14ac:dyDescent="0.35">
      <c r="A293" s="12" t="str">
        <f ca="1">IFERROR(__xludf.DUMMYFUNCTION("""COMPUTED_VALUE"""),"Guthrie, Nancy")</f>
        <v>Guthrie, Nancy</v>
      </c>
      <c r="B293" s="12" t="str">
        <f ca="1">IFERROR(__xludf.DUMMYFUNCTION("""COMPUTED_VALUE""")," Nancy Guthrie")</f>
        <v xml:space="preserve"> Nancy Guthrie</v>
      </c>
      <c r="C293" s="12" t="str">
        <f ca="1">IFERROR(__xludf.DUMMYFUNCTION("""COMPUTED_VALUE"""),"What Every Child Should Know About Prayer")</f>
        <v>What Every Child Should Know About Prayer</v>
      </c>
      <c r="D293" s="12"/>
      <c r="E293" s="12" t="str">
        <f ca="1">IFERROR(__xludf.DUMMYFUNCTION("""COMPUTED_VALUE"""),"Book")</f>
        <v>Book</v>
      </c>
      <c r="F293" s="12" t="str">
        <f ca="1">IFERROR(__xludf.DUMMYFUNCTION("""COMPUTED_VALUE"""),"Children")</f>
        <v>Children</v>
      </c>
      <c r="G293" s="12"/>
      <c r="H293" s="12"/>
      <c r="I293" s="12"/>
      <c r="J293" s="12"/>
      <c r="K293" s="13"/>
      <c r="L293" s="12"/>
      <c r="M293" s="12"/>
      <c r="N293" s="12" t="str">
        <f ca="1">IFERROR(__xludf.DUMMYFUNCTION("""COMPUTED_VALUE"""),"Table1")</f>
        <v>Table1</v>
      </c>
    </row>
    <row r="294" spans="1:14" ht="15.75" customHeight="1" x14ac:dyDescent="0.35">
      <c r="A294" s="12" t="str">
        <f ca="1">IFERROR(__xludf.DUMMYFUNCTION("""COMPUTED_VALUE"""),"Guthrie, Nancy")</f>
        <v>Guthrie, Nancy</v>
      </c>
      <c r="B294" s="12" t="str">
        <f ca="1">IFERROR(__xludf.DUMMYFUNCTION("""COMPUTED_VALUE""")," Nancy Guthrie")</f>
        <v xml:space="preserve"> Nancy Guthrie</v>
      </c>
      <c r="C294" s="12" t="str">
        <f ca="1">IFERROR(__xludf.DUMMYFUNCTION("""COMPUTED_VALUE"""),"What Grieving People Wish You Knew")</f>
        <v>What Grieving People Wish You Knew</v>
      </c>
      <c r="D294" s="12"/>
      <c r="E294" s="12" t="str">
        <f ca="1">IFERROR(__xludf.DUMMYFUNCTION("""COMPUTED_VALUE"""),"Book")</f>
        <v>Book</v>
      </c>
      <c r="F294" s="12" t="str">
        <f ca="1">IFERROR(__xludf.DUMMYFUNCTION("""COMPUTED_VALUE"""),"Understanding Mankind")</f>
        <v>Understanding Mankind</v>
      </c>
      <c r="G294" s="12"/>
      <c r="H294" s="12"/>
      <c r="I294" s="12"/>
      <c r="J294" s="12" t="str">
        <f ca="1">IFERROR(__xludf.DUMMYFUNCTION("""COMPUTED_VALUE"""),"Suffering, Grief")</f>
        <v>Suffering, Grief</v>
      </c>
      <c r="K294" s="13">
        <f ca="1">IFERROR(__xludf.DUMMYFUNCTION("""COMPUTED_VALUE"""),43095)</f>
        <v>43095</v>
      </c>
      <c r="L294" s="12"/>
      <c r="M294" s="12"/>
      <c r="N294" s="12" t="str">
        <f ca="1">IFERROR(__xludf.DUMMYFUNCTION("""COMPUTED_VALUE"""),"Table1")</f>
        <v>Table1</v>
      </c>
    </row>
    <row r="295" spans="1:14" ht="15.75" customHeight="1" x14ac:dyDescent="0.35">
      <c r="A295" s="12" t="str">
        <f ca="1">IFERROR(__xludf.DUMMYFUNCTION("""COMPUTED_VALUE"""),"Guthrie, William")</f>
        <v>Guthrie, William</v>
      </c>
      <c r="B295" s="12" t="str">
        <f ca="1">IFERROR(__xludf.DUMMYFUNCTION("""COMPUTED_VALUE""")," William Guthrie")</f>
        <v xml:space="preserve"> William Guthrie</v>
      </c>
      <c r="C295" s="12" t="str">
        <f ca="1">IFERROR(__xludf.DUMMYFUNCTION("""COMPUTED_VALUE"""),"The Christian's Great Interest")</f>
        <v>The Christian's Great Interest</v>
      </c>
      <c r="D295" s="12"/>
      <c r="E295" s="12" t="str">
        <f ca="1">IFERROR(__xludf.DUMMYFUNCTION("""COMPUTED_VALUE"""),"Book")</f>
        <v>Book</v>
      </c>
      <c r="F295" s="12" t="str">
        <f ca="1">IFERROR(__xludf.DUMMYFUNCTION("""COMPUTED_VALUE"""),"Discipleship")</f>
        <v>Discipleship</v>
      </c>
      <c r="G295" s="12"/>
      <c r="H295" s="12" t="str">
        <f ca="1">IFERROR(__xludf.DUMMYFUNCTION("""COMPUTED_VALUE"""),"Puritans")</f>
        <v>Puritans</v>
      </c>
      <c r="I295" s="12"/>
      <c r="J295" s="12"/>
      <c r="K295" s="13"/>
      <c r="L295" s="12"/>
      <c r="M295" s="12"/>
      <c r="N295" s="12" t="str">
        <f ca="1">IFERROR(__xludf.DUMMYFUNCTION("""COMPUTED_VALUE"""),"Table1")</f>
        <v>Table1</v>
      </c>
    </row>
    <row r="296" spans="1:14" ht="15.75" customHeight="1" x14ac:dyDescent="0.35">
      <c r="A296" s="12" t="str">
        <f ca="1">IFERROR(__xludf.DUMMYFUNCTION("""COMPUTED_VALUE"""),"Ham, Ken")</f>
        <v>Ham, Ken</v>
      </c>
      <c r="B296" s="12" t="str">
        <f ca="1">IFERROR(__xludf.DUMMYFUNCTION("""COMPUTED_VALUE""")," Ken Ham")</f>
        <v xml:space="preserve"> Ken Ham</v>
      </c>
      <c r="C296" s="12" t="str">
        <f ca="1">IFERROR(__xludf.DUMMYFUNCTION("""COMPUTED_VALUE"""),"The Lie: Evolution/Millions of Years")</f>
        <v>The Lie: Evolution/Millions of Years</v>
      </c>
      <c r="D296" s="12"/>
      <c r="E296" s="12" t="str">
        <f ca="1">IFERROR(__xludf.DUMMYFUNCTION("""COMPUTED_VALUE"""),"Book")</f>
        <v>Book</v>
      </c>
      <c r="F296" s="12" t="str">
        <f ca="1">IFERROR(__xludf.DUMMYFUNCTION("""COMPUTED_VALUE"""),"Worldview")</f>
        <v>Worldview</v>
      </c>
      <c r="G296" s="12"/>
      <c r="H296" s="12"/>
      <c r="I296" s="12"/>
      <c r="J296" s="12" t="str">
        <f ca="1">IFERROR(__xludf.DUMMYFUNCTION("""COMPUTED_VALUE"""),"Science")</f>
        <v>Science</v>
      </c>
      <c r="K296" s="13">
        <f ca="1">IFERROR(__xludf.DUMMYFUNCTION("""COMPUTED_VALUE"""),42511)</f>
        <v>42511</v>
      </c>
      <c r="L296" s="12"/>
      <c r="M296" s="12"/>
      <c r="N296" s="12" t="str">
        <f ca="1">IFERROR(__xludf.DUMMYFUNCTION("""COMPUTED_VALUE"""),"Table1")</f>
        <v>Table1</v>
      </c>
    </row>
    <row r="297" spans="1:14" ht="15.75" customHeight="1" x14ac:dyDescent="0.35">
      <c r="A297" s="12" t="str">
        <f ca="1">IFERROR(__xludf.DUMMYFUNCTION("""COMPUTED_VALUE"""),"Hambrick, Sharon")</f>
        <v>Hambrick, Sharon</v>
      </c>
      <c r="B297" s="12" t="str">
        <f ca="1">IFERROR(__xludf.DUMMYFUNCTION("""COMPUTED_VALUE""")," Sharon Hambrick")</f>
        <v xml:space="preserve"> Sharon Hambrick</v>
      </c>
      <c r="C297" s="12" t="str">
        <f ca="1">IFERROR(__xludf.DUMMYFUNCTION("""COMPUTED_VALUE"""),"Arby Jenkins")</f>
        <v>Arby Jenkins</v>
      </c>
      <c r="D297" s="12"/>
      <c r="E297" s="12" t="str">
        <f ca="1">IFERROR(__xludf.DUMMYFUNCTION("""COMPUTED_VALUE"""),"Book")</f>
        <v>Book</v>
      </c>
      <c r="F297" s="12" t="str">
        <f ca="1">IFERROR(__xludf.DUMMYFUNCTION("""COMPUTED_VALUE"""),"Children")</f>
        <v>Children</v>
      </c>
      <c r="G297" s="12"/>
      <c r="H297" s="12"/>
      <c r="I297" s="12"/>
      <c r="J297" s="12"/>
      <c r="K297" s="13">
        <f ca="1">IFERROR(__xludf.DUMMYFUNCTION("""COMPUTED_VALUE"""),41164)</f>
        <v>41164</v>
      </c>
      <c r="L297" s="12"/>
      <c r="M297" s="12"/>
      <c r="N297" s="12" t="str">
        <f ca="1">IFERROR(__xludf.DUMMYFUNCTION("""COMPUTED_VALUE"""),"Table1")</f>
        <v>Table1</v>
      </c>
    </row>
    <row r="298" spans="1:14" ht="15.75" customHeight="1" x14ac:dyDescent="0.35">
      <c r="A298" s="12" t="str">
        <f ca="1">IFERROR(__xludf.DUMMYFUNCTION("""COMPUTED_VALUE"""),"Hamilton, James M. Jr")</f>
        <v>Hamilton, James M. Jr</v>
      </c>
      <c r="B298" s="12" t="str">
        <f ca="1">IFERROR(__xludf.DUMMYFUNCTION("""COMPUTED_VALUE""")," James M. Jr Hamilton")</f>
        <v xml:space="preserve"> James M. Jr Hamilton</v>
      </c>
      <c r="C298" s="12" t="str">
        <f ca="1">IFERROR(__xludf.DUMMYFUNCTION("""COMPUTED_VALUE"""),"The Bible's Big Story")</f>
        <v>The Bible's Big Story</v>
      </c>
      <c r="D298" s="12"/>
      <c r="E298" s="12" t="str">
        <f ca="1">IFERROR(__xludf.DUMMYFUNCTION("""COMPUTED_VALUE"""),"Book")</f>
        <v>Book</v>
      </c>
      <c r="F298" s="12" t="str">
        <f ca="1">IFERROR(__xludf.DUMMYFUNCTION("""COMPUTED_VALUE"""),"Children")</f>
        <v>Children</v>
      </c>
      <c r="G298" s="12"/>
      <c r="H298" s="12"/>
      <c r="I298" s="12"/>
      <c r="J298" s="12"/>
      <c r="K298" s="13">
        <f ca="1">IFERROR(__xludf.DUMMYFUNCTION("""COMPUTED_VALUE"""),42200)</f>
        <v>42200</v>
      </c>
      <c r="L298" s="12"/>
      <c r="M298" s="12"/>
      <c r="N298" s="12" t="str">
        <f ca="1">IFERROR(__xludf.DUMMYFUNCTION("""COMPUTED_VALUE"""),"Table1")</f>
        <v>Table1</v>
      </c>
    </row>
    <row r="299" spans="1:14" ht="15.75" customHeight="1" x14ac:dyDescent="0.35">
      <c r="A299" s="12" t="str">
        <f ca="1">IFERROR(__xludf.DUMMYFUNCTION("""COMPUTED_VALUE"""),"Hamilton, James M. Jr")</f>
        <v>Hamilton, James M. Jr</v>
      </c>
      <c r="B299" s="12" t="str">
        <f ca="1">IFERROR(__xludf.DUMMYFUNCTION("""COMPUTED_VALUE""")," James M. Jr Hamilton")</f>
        <v xml:space="preserve"> James M. Jr Hamilton</v>
      </c>
      <c r="C299" s="12" t="str">
        <f ca="1">IFERROR(__xludf.DUMMYFUNCTION("""COMPUTED_VALUE"""),"God's Glory in Salvation Through Judgment")</f>
        <v>God's Glory in Salvation Through Judgment</v>
      </c>
      <c r="D299" s="12"/>
      <c r="E299" s="12" t="str">
        <f ca="1">IFERROR(__xludf.DUMMYFUNCTION("""COMPUTED_VALUE"""),"Book")</f>
        <v>Book</v>
      </c>
      <c r="F299" s="12" t="str">
        <f ca="1">IFERROR(__xludf.DUMMYFUNCTION("""COMPUTED_VALUE"""),"Theology")</f>
        <v>Theology</v>
      </c>
      <c r="G299" s="12" t="str">
        <f ca="1">IFERROR(__xludf.DUMMYFUNCTION("""COMPUTED_VALUE"""),"Salvation")</f>
        <v>Salvation</v>
      </c>
      <c r="H299" s="12"/>
      <c r="I299" s="12"/>
      <c r="J299" s="12"/>
      <c r="K299" s="13">
        <f ca="1">IFERROR(__xludf.DUMMYFUNCTION("""COMPUTED_VALUE"""),42200)</f>
        <v>42200</v>
      </c>
      <c r="L299" s="12"/>
      <c r="M299" s="12"/>
      <c r="N299" s="12" t="str">
        <f ca="1">IFERROR(__xludf.DUMMYFUNCTION("""COMPUTED_VALUE"""),"Table1")</f>
        <v>Table1</v>
      </c>
    </row>
    <row r="300" spans="1:14" ht="15.75" customHeight="1" x14ac:dyDescent="0.35">
      <c r="A300" s="12" t="str">
        <f ca="1">IFERROR(__xludf.DUMMYFUNCTION("""COMPUTED_VALUE"""),"Hamilton, James M. Jr")</f>
        <v>Hamilton, James M. Jr</v>
      </c>
      <c r="B300" s="12" t="str">
        <f ca="1">IFERROR(__xludf.DUMMYFUNCTION("""COMPUTED_VALUE""")," James M. Jr Hamilton")</f>
        <v xml:space="preserve"> James M. Jr Hamilton</v>
      </c>
      <c r="C300" s="12" t="str">
        <f ca="1">IFERROR(__xludf.DUMMYFUNCTION("""COMPUTED_VALUE"""),"What is Biblical Theology?")</f>
        <v>What is Biblical Theology?</v>
      </c>
      <c r="D300" s="12"/>
      <c r="E300" s="12" t="str">
        <f ca="1">IFERROR(__xludf.DUMMYFUNCTION("""COMPUTED_VALUE"""),"Book")</f>
        <v>Book</v>
      </c>
      <c r="F300" s="12" t="str">
        <f ca="1">IFERROR(__xludf.DUMMYFUNCTION("""COMPUTED_VALUE"""),"Theology")</f>
        <v>Theology</v>
      </c>
      <c r="G300" s="12"/>
      <c r="H300" s="12"/>
      <c r="I300" s="12"/>
      <c r="J300" s="12"/>
      <c r="K300" s="13">
        <f ca="1">IFERROR(__xludf.DUMMYFUNCTION("""COMPUTED_VALUE"""),42200)</f>
        <v>42200</v>
      </c>
      <c r="L300" s="12"/>
      <c r="M300" s="12"/>
      <c r="N300" s="12" t="str">
        <f ca="1">IFERROR(__xludf.DUMMYFUNCTION("""COMPUTED_VALUE"""),"Table1")</f>
        <v>Table1</v>
      </c>
    </row>
    <row r="301" spans="1:14" ht="15.75" customHeight="1" x14ac:dyDescent="0.35">
      <c r="A301" s="12" t="str">
        <f ca="1">IFERROR(__xludf.DUMMYFUNCTION("""COMPUTED_VALUE"""),"Hamilton, James M. Jr")</f>
        <v>Hamilton, James M. Jr</v>
      </c>
      <c r="B301" s="12" t="str">
        <f ca="1">IFERROR(__xludf.DUMMYFUNCTION("""COMPUTED_VALUE""")," James M. Jr Hamilton")</f>
        <v xml:space="preserve"> James M. Jr Hamilton</v>
      </c>
      <c r="C301" s="12" t="str">
        <f ca="1">IFERROR(__xludf.DUMMYFUNCTION("""COMPUTED_VALUE"""),"Work and Our Labor in the Lord")</f>
        <v>Work and Our Labor in the Lord</v>
      </c>
      <c r="D301" s="12"/>
      <c r="E301" s="12" t="str">
        <f ca="1">IFERROR(__xludf.DUMMYFUNCTION("""COMPUTED_VALUE"""),"Book")</f>
        <v>Book</v>
      </c>
      <c r="F301" s="12" t="str">
        <f ca="1">IFERROR(__xludf.DUMMYFUNCTION("""COMPUTED_VALUE"""),"Theology")</f>
        <v>Theology</v>
      </c>
      <c r="G301" s="12"/>
      <c r="H301" s="12"/>
      <c r="I301" s="12"/>
      <c r="J301" s="12" t="str">
        <f ca="1">IFERROR(__xludf.DUMMYFUNCTION("""COMPUTED_VALUE"""),"Vocation")</f>
        <v>Vocation</v>
      </c>
      <c r="K301" s="13"/>
      <c r="L301" s="12"/>
      <c r="M301" s="12"/>
      <c r="N301" s="12" t="str">
        <f ca="1">IFERROR(__xludf.DUMMYFUNCTION("""COMPUTED_VALUE"""),"Table1")</f>
        <v>Table1</v>
      </c>
    </row>
    <row r="302" spans="1:14" ht="15.75" customHeight="1" x14ac:dyDescent="0.35">
      <c r="A302" s="12" t="str">
        <f ca="1">IFERROR(__xludf.DUMMYFUNCTION("""COMPUTED_VALUE"""),"Hammond, Rebecca")</f>
        <v>Hammond, Rebecca</v>
      </c>
      <c r="B302" s="12" t="str">
        <f ca="1">IFERROR(__xludf.DUMMYFUNCTION("""COMPUTED_VALUE""")," Rebecca Hammond")</f>
        <v xml:space="preserve"> Rebecca Hammond</v>
      </c>
      <c r="C302" s="12" t="str">
        <f ca="1">IFERROR(__xludf.DUMMYFUNCTION("""COMPUTED_VALUE"""),"John Wycliffe: Man of Courage")</f>
        <v>John Wycliffe: Man of Courage</v>
      </c>
      <c r="D302" s="12"/>
      <c r="E302" s="12" t="str">
        <f ca="1">IFERROR(__xludf.DUMMYFUNCTION("""COMPUTED_VALUE"""),"Book")</f>
        <v>Book</v>
      </c>
      <c r="F302" s="12" t="str">
        <f ca="1">IFERROR(__xludf.DUMMYFUNCTION("""COMPUTED_VALUE"""),"Biography")</f>
        <v>Biography</v>
      </c>
      <c r="G302" s="12"/>
      <c r="H302" s="12"/>
      <c r="I302" s="12"/>
      <c r="J302" s="12"/>
      <c r="K302" s="13">
        <f ca="1">IFERROR(__xludf.DUMMYFUNCTION("""COMPUTED_VALUE"""),40034)</f>
        <v>40034</v>
      </c>
      <c r="L302" s="12"/>
      <c r="M302" s="12"/>
      <c r="N302" s="12" t="str">
        <f ca="1">IFERROR(__xludf.DUMMYFUNCTION("""COMPUTED_VALUE"""),"Table1")</f>
        <v>Table1</v>
      </c>
    </row>
    <row r="303" spans="1:14" ht="15.75" customHeight="1" x14ac:dyDescent="0.35">
      <c r="A303" s="12" t="str">
        <f ca="1">IFERROR(__xludf.DUMMYFUNCTION("""COMPUTED_VALUE"""),"Hammond, Rebecca")</f>
        <v>Hammond, Rebecca</v>
      </c>
      <c r="B303" s="12" t="str">
        <f ca="1">IFERROR(__xludf.DUMMYFUNCTION("""COMPUTED_VALUE""")," Rebecca Hammond")</f>
        <v xml:space="preserve"> Rebecca Hammond</v>
      </c>
      <c r="C303" s="12" t="str">
        <f ca="1">IFERROR(__xludf.DUMMYFUNCTION("""COMPUTED_VALUE"""),"Mary Slessor: Faith in West Africa")</f>
        <v>Mary Slessor: Faith in West Africa</v>
      </c>
      <c r="D303" s="12"/>
      <c r="E303" s="12" t="str">
        <f ca="1">IFERROR(__xludf.DUMMYFUNCTION("""COMPUTED_VALUE"""),"Book")</f>
        <v>Book</v>
      </c>
      <c r="F303" s="12" t="str">
        <f ca="1">IFERROR(__xludf.DUMMYFUNCTION("""COMPUTED_VALUE"""),"Biography")</f>
        <v>Biography</v>
      </c>
      <c r="G303" s="12"/>
      <c r="H303" s="12"/>
      <c r="I303" s="12"/>
      <c r="J303" s="12" t="str">
        <f ca="1">IFERROR(__xludf.DUMMYFUNCTION("""COMPUTED_VALUE"""),"Missions")</f>
        <v>Missions</v>
      </c>
      <c r="K303" s="13">
        <f ca="1">IFERROR(__xludf.DUMMYFUNCTION("""COMPUTED_VALUE"""),40034)</f>
        <v>40034</v>
      </c>
      <c r="L303" s="12"/>
      <c r="M303" s="12"/>
      <c r="N303" s="12" t="str">
        <f ca="1">IFERROR(__xludf.DUMMYFUNCTION("""COMPUTED_VALUE"""),"Table1")</f>
        <v>Table1</v>
      </c>
    </row>
    <row r="304" spans="1:14" ht="15.75" customHeight="1" x14ac:dyDescent="0.35">
      <c r="A304" s="12" t="str">
        <f ca="1">IFERROR(__xludf.DUMMYFUNCTION("""COMPUTED_VALUE"""),"Hammond, Rebecca")</f>
        <v>Hammond, Rebecca</v>
      </c>
      <c r="B304" s="12" t="str">
        <f ca="1">IFERROR(__xludf.DUMMYFUNCTION("""COMPUTED_VALUE""")," Rebecca Hammond")</f>
        <v xml:space="preserve"> Rebecca Hammond</v>
      </c>
      <c r="C304" s="12" t="str">
        <f ca="1">IFERROR(__xludf.DUMMYFUNCTION("""COMPUTED_VALUE"""),"Robert Morrison: Translator in China")</f>
        <v>Robert Morrison: Translator in China</v>
      </c>
      <c r="D304" s="12"/>
      <c r="E304" s="12" t="str">
        <f ca="1">IFERROR(__xludf.DUMMYFUNCTION("""COMPUTED_VALUE"""),"Book")</f>
        <v>Book</v>
      </c>
      <c r="F304" s="12" t="str">
        <f ca="1">IFERROR(__xludf.DUMMYFUNCTION("""COMPUTED_VALUE"""),"Biography")</f>
        <v>Biography</v>
      </c>
      <c r="G304" s="12"/>
      <c r="H304" s="12"/>
      <c r="I304" s="12"/>
      <c r="J304" s="12" t="str">
        <f ca="1">IFERROR(__xludf.DUMMYFUNCTION("""COMPUTED_VALUE"""),"Missions")</f>
        <v>Missions</v>
      </c>
      <c r="K304" s="13">
        <f ca="1">IFERROR(__xludf.DUMMYFUNCTION("""COMPUTED_VALUE"""),40034)</f>
        <v>40034</v>
      </c>
      <c r="L304" s="12"/>
      <c r="M304" s="12"/>
      <c r="N304" s="12" t="str">
        <f ca="1">IFERROR(__xludf.DUMMYFUNCTION("""COMPUTED_VALUE"""),"Table1")</f>
        <v>Table1</v>
      </c>
    </row>
    <row r="305" spans="1:14" ht="15.75" customHeight="1" x14ac:dyDescent="0.35">
      <c r="A305" s="12" t="str">
        <f ca="1">IFERROR(__xludf.DUMMYFUNCTION("""COMPUTED_VALUE"""),"Harman, Allan M.")</f>
        <v>Harman, Allan M.</v>
      </c>
      <c r="B305" s="12" t="str">
        <f ca="1">IFERROR(__xludf.DUMMYFUNCTION("""COMPUTED_VALUE""")," Allan M. Harman")</f>
        <v xml:space="preserve"> Allan M. Harman</v>
      </c>
      <c r="C305" s="12" t="str">
        <f ca="1">IFERROR(__xludf.DUMMYFUNCTION("""COMPUTED_VALUE"""),"Joseph Addison Alexander")</f>
        <v>Joseph Addison Alexander</v>
      </c>
      <c r="D305" s="12" t="str">
        <f ca="1">IFERROR(__xludf.DUMMYFUNCTION("""COMPUTED_VALUE"""),"Bitesize Biographies")</f>
        <v>Bitesize Biographies</v>
      </c>
      <c r="E305" s="12" t="str">
        <f ca="1">IFERROR(__xludf.DUMMYFUNCTION("""COMPUTED_VALUE"""),"Book")</f>
        <v>Book</v>
      </c>
      <c r="F305" s="12" t="str">
        <f ca="1">IFERROR(__xludf.DUMMYFUNCTION("""COMPUTED_VALUE"""),"Biography")</f>
        <v>Biography</v>
      </c>
      <c r="G305" s="12"/>
      <c r="H305" s="12"/>
      <c r="I305" s="12"/>
      <c r="J305" s="12"/>
      <c r="K305" s="13">
        <f ca="1">IFERROR(__xludf.DUMMYFUNCTION("""COMPUTED_VALUE"""),43704)</f>
        <v>43704</v>
      </c>
      <c r="L305" s="12"/>
      <c r="M305" s="12"/>
      <c r="N305" s="12" t="str">
        <f ca="1">IFERROR(__xludf.DUMMYFUNCTION("""COMPUTED_VALUE"""),"Table1")</f>
        <v>Table1</v>
      </c>
    </row>
    <row r="306" spans="1:14" ht="15.75" customHeight="1" x14ac:dyDescent="0.35">
      <c r="A306" s="12" t="str">
        <f ca="1">IFERROR(__xludf.DUMMYFUNCTION("""COMPUTED_VALUE"""),"Harmon, Matthew")</f>
        <v>Harmon, Matthew</v>
      </c>
      <c r="B306" s="12" t="str">
        <f ca="1">IFERROR(__xludf.DUMMYFUNCTION("""COMPUTED_VALUE""")," Matthew Harmon")</f>
        <v xml:space="preserve"> Matthew Harmon</v>
      </c>
      <c r="C306" s="12" t="str">
        <f ca="1">IFERROR(__xludf.DUMMYFUNCTION("""COMPUTED_VALUE"""),"Asking the Right Questions: A Practical Guide to Understanding and Applying the Bible")</f>
        <v>Asking the Right Questions: A Practical Guide to Understanding and Applying the Bible</v>
      </c>
      <c r="D306" s="12"/>
      <c r="E306" s="12" t="str">
        <f ca="1">IFERROR(__xludf.DUMMYFUNCTION("""COMPUTED_VALUE"""),"Book")</f>
        <v>Book</v>
      </c>
      <c r="F306" s="12" t="str">
        <f ca="1">IFERROR(__xludf.DUMMYFUNCTION("""COMPUTED_VALUE"""),"Bible")</f>
        <v>Bible</v>
      </c>
      <c r="G306" s="12"/>
      <c r="H306" s="12"/>
      <c r="I306" s="12"/>
      <c r="J306" s="12"/>
      <c r="K306" s="13">
        <f ca="1">IFERROR(__xludf.DUMMYFUNCTION("""COMPUTED_VALUE"""),43704)</f>
        <v>43704</v>
      </c>
      <c r="L306" s="12"/>
      <c r="M306" s="12"/>
      <c r="N306" s="12" t="str">
        <f ca="1">IFERROR(__xludf.DUMMYFUNCTION("""COMPUTED_VALUE"""),"Table1")</f>
        <v>Table1</v>
      </c>
    </row>
    <row r="307" spans="1:14" ht="15.75" customHeight="1" x14ac:dyDescent="0.35">
      <c r="A307" s="12" t="str">
        <f ca="1">IFERROR(__xludf.DUMMYFUNCTION("""COMPUTED_VALUE"""),"Harris, Joshua")</f>
        <v>Harris, Joshua</v>
      </c>
      <c r="B307" s="12" t="str">
        <f ca="1">IFERROR(__xludf.DUMMYFUNCTION("""COMPUTED_VALUE""")," Joshua Harris")</f>
        <v xml:space="preserve"> Joshua Harris</v>
      </c>
      <c r="C307" s="12" t="str">
        <f ca="1">IFERROR(__xludf.DUMMYFUNCTION("""COMPUTED_VALUE"""),"Sex is Not the Problem (Lust Is)")</f>
        <v>Sex is Not the Problem (Lust Is)</v>
      </c>
      <c r="D307" s="12"/>
      <c r="E307" s="12" t="str">
        <f ca="1">IFERROR(__xludf.DUMMYFUNCTION("""COMPUTED_VALUE"""),"Book")</f>
        <v>Book</v>
      </c>
      <c r="F307" s="12" t="str">
        <f ca="1">IFERROR(__xludf.DUMMYFUNCTION("""COMPUTED_VALUE"""),"Understanding Mankind")</f>
        <v>Understanding Mankind</v>
      </c>
      <c r="G307" s="12"/>
      <c r="H307" s="12"/>
      <c r="I307" s="12"/>
      <c r="J307" s="12" t="str">
        <f ca="1">IFERROR(__xludf.DUMMYFUNCTION("""COMPUTED_VALUE"""),"Sexuality")</f>
        <v>Sexuality</v>
      </c>
      <c r="K307" s="13">
        <f ca="1">IFERROR(__xludf.DUMMYFUNCTION("""COMPUTED_VALUE"""),40034)</f>
        <v>40034</v>
      </c>
      <c r="L307" s="12"/>
      <c r="M307" s="12"/>
      <c r="N307" s="12" t="str">
        <f ca="1">IFERROR(__xludf.DUMMYFUNCTION("""COMPUTED_VALUE"""),"Table1")</f>
        <v>Table1</v>
      </c>
    </row>
    <row r="308" spans="1:14" ht="15.75" customHeight="1" x14ac:dyDescent="0.35">
      <c r="A308" s="12" t="str">
        <f ca="1">IFERROR(__xludf.DUMMYFUNCTION("""COMPUTED_VALUE"""),"Harvey, Dave")</f>
        <v>Harvey, Dave</v>
      </c>
      <c r="B308" s="12" t="str">
        <f ca="1">IFERROR(__xludf.DUMMYFUNCTION("""COMPUTED_VALUE""")," Dave Harvey")</f>
        <v xml:space="preserve"> Dave Harvey</v>
      </c>
      <c r="C308" s="12" t="str">
        <f ca="1">IFERROR(__xludf.DUMMYFUNCTION("""COMPUTED_VALUE"""),"I Still Do: Growing Closer and Stronger through Life's Defining Moments")</f>
        <v>I Still Do: Growing Closer and Stronger through Life's Defining Moments</v>
      </c>
      <c r="D308" s="12"/>
      <c r="E308" s="12" t="str">
        <f ca="1">IFERROR(__xludf.DUMMYFUNCTION("""COMPUTED_VALUE"""),"Book")</f>
        <v>Book</v>
      </c>
      <c r="F308" s="12" t="str">
        <f ca="1">IFERROR(__xludf.DUMMYFUNCTION("""COMPUTED_VALUE"""),"Discipleship")</f>
        <v>Discipleship</v>
      </c>
      <c r="G308" s="12"/>
      <c r="H308" s="12" t="str">
        <f ca="1">IFERROR(__xludf.DUMMYFUNCTION("""COMPUTED_VALUE"""),"Marriage")</f>
        <v>Marriage</v>
      </c>
      <c r="I308" s="12"/>
      <c r="J308" s="12"/>
      <c r="K308" s="13">
        <f ca="1">IFERROR(__xludf.DUMMYFUNCTION("""COMPUTED_VALUE"""),43872)</f>
        <v>43872</v>
      </c>
      <c r="L308" s="12"/>
      <c r="M308" s="12"/>
      <c r="N308" s="12" t="str">
        <f ca="1">IFERROR(__xludf.DUMMYFUNCTION("""COMPUTED_VALUE"""),"Table1")</f>
        <v>Table1</v>
      </c>
    </row>
    <row r="309" spans="1:14" ht="15.75" customHeight="1" x14ac:dyDescent="0.35">
      <c r="A309" s="12" t="str">
        <f ca="1">IFERROR(__xludf.DUMMYFUNCTION("""COMPUTED_VALUE"""),"Harvey, Dave")</f>
        <v>Harvey, Dave</v>
      </c>
      <c r="B309" s="12" t="str">
        <f ca="1">IFERROR(__xludf.DUMMYFUNCTION("""COMPUTED_VALUE""")," Dave Harvey")</f>
        <v xml:space="preserve"> Dave Harvey</v>
      </c>
      <c r="C309" s="12" t="str">
        <f ca="1">IFERROR(__xludf.DUMMYFUNCTION("""COMPUTED_VALUE"""),"When Sinners Say ""I Do""")</f>
        <v>When Sinners Say "I Do"</v>
      </c>
      <c r="D309" s="12"/>
      <c r="E309" s="12" t="str">
        <f ca="1">IFERROR(__xludf.DUMMYFUNCTION("""COMPUTED_VALUE"""),"Book")</f>
        <v>Book</v>
      </c>
      <c r="F309" s="12" t="str">
        <f ca="1">IFERROR(__xludf.DUMMYFUNCTION("""COMPUTED_VALUE"""),"Understanding Mankind")</f>
        <v>Understanding Mankind</v>
      </c>
      <c r="G309" s="12"/>
      <c r="H309" s="12"/>
      <c r="I309" s="12"/>
      <c r="J309" s="12" t="str">
        <f ca="1">IFERROR(__xludf.DUMMYFUNCTION("""COMPUTED_VALUE"""),"Marriage")</f>
        <v>Marriage</v>
      </c>
      <c r="K309" s="13">
        <f ca="1">IFERROR(__xludf.DUMMYFUNCTION("""COMPUTED_VALUE"""),40034)</f>
        <v>40034</v>
      </c>
      <c r="L309" s="12"/>
      <c r="M309" s="12"/>
      <c r="N309" s="12" t="str">
        <f ca="1">IFERROR(__xludf.DUMMYFUNCTION("""COMPUTED_VALUE"""),"Table1")</f>
        <v>Table1</v>
      </c>
    </row>
    <row r="310" spans="1:14" ht="15.75" customHeight="1" x14ac:dyDescent="0.35">
      <c r="A310" s="12" t="str">
        <f ca="1">IFERROR(__xludf.DUMMYFUNCTION("""COMPUTED_VALUE"""),"Hayden, Eric")</f>
        <v>Hayden, Eric</v>
      </c>
      <c r="B310" s="12" t="str">
        <f ca="1">IFERROR(__xludf.DUMMYFUNCTION("""COMPUTED_VALUE""")," Eric Hayden")</f>
        <v xml:space="preserve"> Eric Hayden</v>
      </c>
      <c r="C310" s="12" t="str">
        <f ca="1">IFERROR(__xludf.DUMMYFUNCTION("""COMPUTED_VALUE"""),"The Unforgetable Spurgeon")</f>
        <v>The Unforgetable Spurgeon</v>
      </c>
      <c r="D310" s="12"/>
      <c r="E310" s="12" t="str">
        <f ca="1">IFERROR(__xludf.DUMMYFUNCTION("""COMPUTED_VALUE"""),"Book")</f>
        <v>Book</v>
      </c>
      <c r="F310" s="12" t="str">
        <f ca="1">IFERROR(__xludf.DUMMYFUNCTION("""COMPUTED_VALUE"""),"Biography")</f>
        <v>Biography</v>
      </c>
      <c r="G310" s="12"/>
      <c r="H310" s="12"/>
      <c r="I310" s="12"/>
      <c r="J310" s="12"/>
      <c r="K310" s="13">
        <f ca="1">IFERROR(__xludf.DUMMYFUNCTION("""COMPUTED_VALUE"""),40035)</f>
        <v>40035</v>
      </c>
      <c r="L310" s="12"/>
      <c r="M310" s="12"/>
      <c r="N310" s="12" t="str">
        <f ca="1">IFERROR(__xludf.DUMMYFUNCTION("""COMPUTED_VALUE"""),"Table1")</f>
        <v>Table1</v>
      </c>
    </row>
    <row r="311" spans="1:14" ht="15.75" customHeight="1" x14ac:dyDescent="0.35">
      <c r="A311" s="12" t="str">
        <f ca="1">IFERROR(__xludf.DUMMYFUNCTION("""COMPUTED_VALUE"""),"Hayner, Linda")</f>
        <v>Hayner, Linda</v>
      </c>
      <c r="B311" s="12" t="str">
        <f ca="1">IFERROR(__xludf.DUMMYFUNCTION("""COMPUTED_VALUE""")," Linda Hayner")</f>
        <v xml:space="preserve"> Linda Hayner</v>
      </c>
      <c r="C311" s="12" t="str">
        <f ca="1">IFERROR(__xludf.DUMMYFUNCTION("""COMPUTED_VALUE"""),"Ellanor's Exchange")</f>
        <v>Ellanor's Exchange</v>
      </c>
      <c r="D311" s="12"/>
      <c r="E311" s="12" t="str">
        <f ca="1">IFERROR(__xludf.DUMMYFUNCTION("""COMPUTED_VALUE"""),"Book")</f>
        <v>Book</v>
      </c>
      <c r="F311" s="12" t="str">
        <f ca="1">IFERROR(__xludf.DUMMYFUNCTION("""COMPUTED_VALUE"""),"Children")</f>
        <v>Children</v>
      </c>
      <c r="G311" s="12"/>
      <c r="H311" s="12"/>
      <c r="I311" s="12"/>
      <c r="J311" s="12"/>
      <c r="K311" s="13">
        <f ca="1">IFERROR(__xludf.DUMMYFUNCTION("""COMPUTED_VALUE"""),41164)</f>
        <v>41164</v>
      </c>
      <c r="L311" s="12"/>
      <c r="M311" s="12"/>
      <c r="N311" s="12" t="str">
        <f ca="1">IFERROR(__xludf.DUMMYFUNCTION("""COMPUTED_VALUE"""),"Table1")</f>
        <v>Table1</v>
      </c>
    </row>
    <row r="312" spans="1:14" ht="15.75" customHeight="1" x14ac:dyDescent="0.35">
      <c r="A312" s="12" t="str">
        <f ca="1">IFERROR(__xludf.DUMMYFUNCTION("""COMPUTED_VALUE"""),"Heath-Whyte, Clare")</f>
        <v>Heath-Whyte, Clare</v>
      </c>
      <c r="B312" s="12" t="str">
        <f ca="1">IFERROR(__xludf.DUMMYFUNCTION("""COMPUTED_VALUE""")," Clare Heath-Whyte")</f>
        <v xml:space="preserve"> Clare Heath-Whyte</v>
      </c>
      <c r="C312" s="12" t="str">
        <f ca="1">IFERROR(__xludf.DUMMYFUNCTION("""COMPUTED_VALUE"""),"Everyone a Child Should Know")</f>
        <v>Everyone a Child Should Know</v>
      </c>
      <c r="D312" s="12"/>
      <c r="E312" s="12" t="str">
        <f ca="1">IFERROR(__xludf.DUMMYFUNCTION("""COMPUTED_VALUE"""),"Book")</f>
        <v>Book</v>
      </c>
      <c r="F312" s="12" t="str">
        <f ca="1">IFERROR(__xludf.DUMMYFUNCTION("""COMPUTED_VALUE"""),"Children")</f>
        <v>Children</v>
      </c>
      <c r="G312" s="12"/>
      <c r="H312" s="12"/>
      <c r="I312" s="12"/>
      <c r="J312" s="12"/>
      <c r="K312" s="13">
        <f ca="1">IFERROR(__xludf.DUMMYFUNCTION("""COMPUTED_VALUE"""),43046)</f>
        <v>43046</v>
      </c>
      <c r="L312" s="12"/>
      <c r="M312" s="12"/>
      <c r="N312" s="12" t="str">
        <f ca="1">IFERROR(__xludf.DUMMYFUNCTION("""COMPUTED_VALUE"""),"Table1")</f>
        <v>Table1</v>
      </c>
    </row>
    <row r="313" spans="1:14" ht="15.75" customHeight="1" x14ac:dyDescent="0.35">
      <c r="A313" s="12" t="str">
        <f ca="1">IFERROR(__xludf.DUMMYFUNCTION("""COMPUTED_VALUE"""),"Helm, David R.")</f>
        <v>Helm, David R.</v>
      </c>
      <c r="B313" s="12" t="str">
        <f ca="1">IFERROR(__xludf.DUMMYFUNCTION("""COMPUTED_VALUE""")," David R. Helm")</f>
        <v xml:space="preserve"> David R. Helm</v>
      </c>
      <c r="C313" s="12" t="str">
        <f ca="1">IFERROR(__xludf.DUMMYFUNCTION("""COMPUTED_VALUE"""),"Big Beliefs: Small Devotionals Introducing Your Family to Big Truths")</f>
        <v>Big Beliefs: Small Devotionals Introducing Your Family to Big Truths</v>
      </c>
      <c r="D313" s="12"/>
      <c r="E313" s="12" t="str">
        <f ca="1">IFERROR(__xludf.DUMMYFUNCTION("""COMPUTED_VALUE"""),"Book")</f>
        <v>Book</v>
      </c>
      <c r="F313" s="12" t="str">
        <f ca="1">IFERROR(__xludf.DUMMYFUNCTION("""COMPUTED_VALUE"""),"Discipleship")</f>
        <v>Discipleship</v>
      </c>
      <c r="G313" s="12"/>
      <c r="H313" s="12" t="str">
        <f ca="1">IFERROR(__xludf.DUMMYFUNCTION("""COMPUTED_VALUE"""),"Devotionals")</f>
        <v>Devotionals</v>
      </c>
      <c r="I313" s="12"/>
      <c r="J313" s="12"/>
      <c r="K313" s="13">
        <f ca="1">IFERROR(__xludf.DUMMYFUNCTION("""COMPUTED_VALUE"""),42966)</f>
        <v>42966</v>
      </c>
      <c r="L313" s="12"/>
      <c r="M313" s="12"/>
      <c r="N313" s="12" t="str">
        <f ca="1">IFERROR(__xludf.DUMMYFUNCTION("""COMPUTED_VALUE"""),"Table1")</f>
        <v>Table1</v>
      </c>
    </row>
    <row r="314" spans="1:14" ht="15.75" customHeight="1" x14ac:dyDescent="0.35">
      <c r="A314" s="12" t="str">
        <f ca="1">IFERROR(__xludf.DUMMYFUNCTION("""COMPUTED_VALUE"""),"Helms, Selah; Kahler, Susan")</f>
        <v>Helms, Selah; Kahler, Susan</v>
      </c>
      <c r="B314" s="12" t="str">
        <f ca="1">IFERROR(__xludf.DUMMYFUNCTION("""COMPUTED_VALUE""")," Selah Helms; Susan Kahler")</f>
        <v xml:space="preserve"> Selah Helms; Susan Kahler</v>
      </c>
      <c r="C314" s="12" t="str">
        <f ca="1">IFERROR(__xludf.DUMMYFUNCTION("""COMPUTED_VALUE"""),"The Bottomless Dinner Basket")</f>
        <v>The Bottomless Dinner Basket</v>
      </c>
      <c r="D314" s="12" t="str">
        <f ca="1">IFERROR(__xludf.DUMMYFUNCTION("""COMPUTED_VALUE"""),"Big Bible Answers")</f>
        <v>Big Bible Answers</v>
      </c>
      <c r="E314" s="12" t="str">
        <f ca="1">IFERROR(__xludf.DUMMYFUNCTION("""COMPUTED_VALUE"""),"Book")</f>
        <v>Book</v>
      </c>
      <c r="F314" s="12" t="str">
        <f ca="1">IFERROR(__xludf.DUMMYFUNCTION("""COMPUTED_VALUE"""),"Children")</f>
        <v>Children</v>
      </c>
      <c r="G314" s="12"/>
      <c r="H314" s="12"/>
      <c r="I314" s="12"/>
      <c r="J314" s="12"/>
      <c r="K314" s="13"/>
      <c r="L314" s="12"/>
      <c r="M314" s="12"/>
      <c r="N314" s="12" t="str">
        <f ca="1">IFERROR(__xludf.DUMMYFUNCTION("""COMPUTED_VALUE"""),"Table1")</f>
        <v>Table1</v>
      </c>
    </row>
    <row r="315" spans="1:14" ht="15.75" customHeight="1" x14ac:dyDescent="0.35">
      <c r="A315" s="12" t="str">
        <f ca="1">IFERROR(__xludf.DUMMYFUNCTION("""COMPUTED_VALUE"""),"Helms, Selah; Kahler, Susan")</f>
        <v>Helms, Selah; Kahler, Susan</v>
      </c>
      <c r="B315" s="12" t="str">
        <f ca="1">IFERROR(__xludf.DUMMYFUNCTION("""COMPUTED_VALUE""")," Selah Helms; Susan Kahler")</f>
        <v xml:space="preserve"> Selah Helms; Susan Kahler</v>
      </c>
      <c r="C315" s="12" t="str">
        <f ca="1">IFERROR(__xludf.DUMMYFUNCTION("""COMPUTED_VALUE"""),"The Greatest Day Ever")</f>
        <v>The Greatest Day Ever</v>
      </c>
      <c r="D315" s="12" t="str">
        <f ca="1">IFERROR(__xludf.DUMMYFUNCTION("""COMPUTED_VALUE"""),"Big Bible Answers")</f>
        <v>Big Bible Answers</v>
      </c>
      <c r="E315" s="12" t="str">
        <f ca="1">IFERROR(__xludf.DUMMYFUNCTION("""COMPUTED_VALUE"""),"Book")</f>
        <v>Book</v>
      </c>
      <c r="F315" s="12" t="str">
        <f ca="1">IFERROR(__xludf.DUMMYFUNCTION("""COMPUTED_VALUE"""),"Children")</f>
        <v>Children</v>
      </c>
      <c r="G315" s="12"/>
      <c r="H315" s="12"/>
      <c r="I315" s="12"/>
      <c r="J315" s="12"/>
      <c r="K315" s="13"/>
      <c r="L315" s="12"/>
      <c r="M315" s="12"/>
      <c r="N315" s="12" t="str">
        <f ca="1">IFERROR(__xludf.DUMMYFUNCTION("""COMPUTED_VALUE"""),"Table1")</f>
        <v>Table1</v>
      </c>
    </row>
    <row r="316" spans="1:14" ht="15.75" customHeight="1" x14ac:dyDescent="0.35">
      <c r="A316" s="12" t="str">
        <f ca="1">IFERROR(__xludf.DUMMYFUNCTION("""COMPUTED_VALUE"""),"Helms, Selah; Kahler, Susan")</f>
        <v>Helms, Selah; Kahler, Susan</v>
      </c>
      <c r="B316" s="12" t="str">
        <f ca="1">IFERROR(__xludf.DUMMYFUNCTION("""COMPUTED_VALUE""")," Selah Helms; Susan Kahler")</f>
        <v xml:space="preserve"> Selah Helms; Susan Kahler</v>
      </c>
      <c r="C316" s="12" t="str">
        <f ca="1">IFERROR(__xludf.DUMMYFUNCTION("""COMPUTED_VALUE"""),"The Starry Messenger")</f>
        <v>The Starry Messenger</v>
      </c>
      <c r="D316" s="12" t="str">
        <f ca="1">IFERROR(__xludf.DUMMYFUNCTION("""COMPUTED_VALUE"""),"Big Bible Answers")</f>
        <v>Big Bible Answers</v>
      </c>
      <c r="E316" s="12" t="str">
        <f ca="1">IFERROR(__xludf.DUMMYFUNCTION("""COMPUTED_VALUE"""),"Book")</f>
        <v>Book</v>
      </c>
      <c r="F316" s="12" t="str">
        <f ca="1">IFERROR(__xludf.DUMMYFUNCTION("""COMPUTED_VALUE"""),"Children")</f>
        <v>Children</v>
      </c>
      <c r="G316" s="12"/>
      <c r="H316" s="12"/>
      <c r="I316" s="12"/>
      <c r="J316" s="12"/>
      <c r="K316" s="13"/>
      <c r="L316" s="12"/>
      <c r="M316" s="12"/>
      <c r="N316" s="12" t="str">
        <f ca="1">IFERROR(__xludf.DUMMYFUNCTION("""COMPUTED_VALUE"""),"Table1")</f>
        <v>Table1</v>
      </c>
    </row>
    <row r="317" spans="1:14" ht="15.75" customHeight="1" x14ac:dyDescent="0.35">
      <c r="A317" s="12" t="str">
        <f ca="1">IFERROR(__xludf.DUMMYFUNCTION("""COMPUTED_VALUE"""),"Hendricks, Howard G ")</f>
        <v xml:space="preserve">Hendricks, Howard G </v>
      </c>
      <c r="B317" s="12" t="str">
        <f ca="1">IFERROR(__xludf.DUMMYFUNCTION("""COMPUTED_VALUE""")," Howard G  Hendricks")</f>
        <v xml:space="preserve"> Howard G  Hendricks</v>
      </c>
      <c r="C317" s="12" t="str">
        <f ca="1">IFERROR(__xludf.DUMMYFUNCTION("""COMPUTED_VALUE"""),"Living by the Book")</f>
        <v>Living by the Book</v>
      </c>
      <c r="D317" s="12"/>
      <c r="E317" s="12" t="str">
        <f ca="1">IFERROR(__xludf.DUMMYFUNCTION("""COMPUTED_VALUE"""),"Book")</f>
        <v>Book</v>
      </c>
      <c r="F317" s="12" t="str">
        <f ca="1">IFERROR(__xludf.DUMMYFUNCTION("""COMPUTED_VALUE"""),"Bible")</f>
        <v>Bible</v>
      </c>
      <c r="G317" s="12"/>
      <c r="H317" s="12"/>
      <c r="I317" s="12"/>
      <c r="J317" s="12"/>
      <c r="K317" s="13">
        <f ca="1">IFERROR(__xludf.DUMMYFUNCTION("""COMPUTED_VALUE"""),40036)</f>
        <v>40036</v>
      </c>
      <c r="L317" s="12"/>
      <c r="M317" s="12"/>
      <c r="N317" s="12" t="str">
        <f ca="1">IFERROR(__xludf.DUMMYFUNCTION("""COMPUTED_VALUE"""),"Table1")</f>
        <v>Table1</v>
      </c>
    </row>
    <row r="318" spans="1:14" ht="15.75" customHeight="1" x14ac:dyDescent="0.35">
      <c r="A318" s="12" t="str">
        <f ca="1">IFERROR(__xludf.DUMMYFUNCTION("""COMPUTED_VALUE"""),"Henley, Marissa")</f>
        <v>Henley, Marissa</v>
      </c>
      <c r="B318" s="12" t="str">
        <f ca="1">IFERROR(__xludf.DUMMYFUNCTION("""COMPUTED_VALUE""")," Marissa Henley")</f>
        <v xml:space="preserve"> Marissa Henley</v>
      </c>
      <c r="C318" s="12" t="str">
        <f ca="1">IFERROR(__xludf.DUMMYFUNCTION("""COMPUTED_VALUE"""),"Loving Your Friend through Cancer")</f>
        <v>Loving Your Friend through Cancer</v>
      </c>
      <c r="D318" s="12"/>
      <c r="E318" s="12" t="str">
        <f ca="1">IFERROR(__xludf.DUMMYFUNCTION("""COMPUTED_VALUE"""),"Book")</f>
        <v>Book</v>
      </c>
      <c r="F318" s="12" t="str">
        <f ca="1">IFERROR(__xludf.DUMMYFUNCTION("""COMPUTED_VALUE"""),"Understanding Mankind")</f>
        <v>Understanding Mankind</v>
      </c>
      <c r="G318" s="12"/>
      <c r="H318" s="12"/>
      <c r="I318" s="12"/>
      <c r="J318" s="12" t="str">
        <f ca="1">IFERROR(__xludf.DUMMYFUNCTION("""COMPUTED_VALUE"""),"Suffering, Sickness")</f>
        <v>Suffering, Sickness</v>
      </c>
      <c r="K318" s="13"/>
      <c r="L318" s="12"/>
      <c r="M318" s="12"/>
      <c r="N318" s="12" t="str">
        <f ca="1">IFERROR(__xludf.DUMMYFUNCTION("""COMPUTED_VALUE"""),"Table1")</f>
        <v>Table1</v>
      </c>
    </row>
    <row r="319" spans="1:14" ht="15.75" customHeight="1" x14ac:dyDescent="0.35">
      <c r="A319" s="12" t="str">
        <f ca="1">IFERROR(__xludf.DUMMYFUNCTION("""COMPUTED_VALUE"""),"Henry, Matthew")</f>
        <v>Henry, Matthew</v>
      </c>
      <c r="B319" s="12" t="str">
        <f ca="1">IFERROR(__xludf.DUMMYFUNCTION("""COMPUTED_VALUE""")," Matthew Henry")</f>
        <v xml:space="preserve"> Matthew Henry</v>
      </c>
      <c r="C319" s="12" t="str">
        <f ca="1">IFERROR(__xludf.DUMMYFUNCTION("""COMPUTED_VALUE"""),"Matthew Henry's Commentary on the Whole Bible")</f>
        <v>Matthew Henry's Commentary on the Whole Bible</v>
      </c>
      <c r="D319" s="12"/>
      <c r="E319" s="12" t="str">
        <f ca="1">IFERROR(__xludf.DUMMYFUNCTION("""COMPUTED_VALUE"""),"Book")</f>
        <v>Book</v>
      </c>
      <c r="F319" s="12" t="str">
        <f ca="1">IFERROR(__xludf.DUMMYFUNCTION("""COMPUTED_VALUE"""),"Reference")</f>
        <v>Reference</v>
      </c>
      <c r="G319" s="12"/>
      <c r="H319" s="12"/>
      <c r="I319" s="12"/>
      <c r="J319" s="12" t="str">
        <f ca="1">IFERROR(__xludf.DUMMYFUNCTION("""COMPUTED_VALUE"""),"Commentary")</f>
        <v>Commentary</v>
      </c>
      <c r="K319" s="13">
        <f ca="1">IFERROR(__xludf.DUMMYFUNCTION("""COMPUTED_VALUE"""),44534)</f>
        <v>44534</v>
      </c>
      <c r="L319" s="12"/>
      <c r="M319" s="12"/>
      <c r="N319" s="12" t="str">
        <f ca="1">IFERROR(__xludf.DUMMYFUNCTION("""COMPUTED_VALUE"""),"Table1")</f>
        <v>Table1</v>
      </c>
    </row>
    <row r="320" spans="1:14" ht="15.75" customHeight="1" x14ac:dyDescent="0.35">
      <c r="A320" s="12" t="str">
        <f ca="1">IFERROR(__xludf.DUMMYFUNCTION("""COMPUTED_VALUE"""),"Hess, Donnalynn Hess")</f>
        <v>Hess, Donnalynn Hess</v>
      </c>
      <c r="B320" s="12" t="str">
        <f ca="1">IFERROR(__xludf.DUMMYFUNCTION("""COMPUTED_VALUE""")," Donnalynn Hess Hess")</f>
        <v xml:space="preserve"> Donnalynn Hess Hess</v>
      </c>
      <c r="C320" s="12" t="str">
        <f ca="1">IFERROR(__xludf.DUMMYFUNCTION("""COMPUTED_VALUE"""),"A Father's Promise")</f>
        <v>A Father's Promise</v>
      </c>
      <c r="D320" s="12"/>
      <c r="E320" s="12" t="str">
        <f ca="1">IFERROR(__xludf.DUMMYFUNCTION("""COMPUTED_VALUE"""),"Book")</f>
        <v>Book</v>
      </c>
      <c r="F320" s="12" t="str">
        <f ca="1">IFERROR(__xludf.DUMMYFUNCTION("""COMPUTED_VALUE"""),"Children")</f>
        <v>Children</v>
      </c>
      <c r="G320" s="12"/>
      <c r="H320" s="12"/>
      <c r="I320" s="12"/>
      <c r="J320" s="12"/>
      <c r="K320" s="13">
        <f ca="1">IFERROR(__xludf.DUMMYFUNCTION("""COMPUTED_VALUE"""),41011)</f>
        <v>41011</v>
      </c>
      <c r="L320" s="12"/>
      <c r="M320" s="12"/>
      <c r="N320" s="12" t="str">
        <f ca="1">IFERROR(__xludf.DUMMYFUNCTION("""COMPUTED_VALUE"""),"Table1")</f>
        <v>Table1</v>
      </c>
    </row>
    <row r="321" spans="1:14" ht="15.75" customHeight="1" x14ac:dyDescent="0.35">
      <c r="A321" s="12" t="str">
        <f ca="1">IFERROR(__xludf.DUMMYFUNCTION("""COMPUTED_VALUE"""),"Hess, Donnalynn Hess")</f>
        <v>Hess, Donnalynn Hess</v>
      </c>
      <c r="B321" s="12" t="str">
        <f ca="1">IFERROR(__xludf.DUMMYFUNCTION("""COMPUTED_VALUE""")," Donnalynn Hess Hess")</f>
        <v xml:space="preserve"> Donnalynn Hess Hess</v>
      </c>
      <c r="C321" s="12" t="str">
        <f ca="1">IFERROR(__xludf.DUMMYFUNCTION("""COMPUTED_VALUE"""),"In Search of Honor")</f>
        <v>In Search of Honor</v>
      </c>
      <c r="D321" s="12"/>
      <c r="E321" s="12" t="str">
        <f ca="1">IFERROR(__xludf.DUMMYFUNCTION("""COMPUTED_VALUE"""),"Book")</f>
        <v>Book</v>
      </c>
      <c r="F321" s="12" t="str">
        <f ca="1">IFERROR(__xludf.DUMMYFUNCTION("""COMPUTED_VALUE"""),"Children")</f>
        <v>Children</v>
      </c>
      <c r="G321" s="12"/>
      <c r="H321" s="12"/>
      <c r="I321" s="12"/>
      <c r="J321" s="12"/>
      <c r="K321" s="13">
        <f ca="1">IFERROR(__xludf.DUMMYFUNCTION("""COMPUTED_VALUE"""),41041)</f>
        <v>41041</v>
      </c>
      <c r="L321" s="12"/>
      <c r="M321" s="12"/>
      <c r="N321" s="12" t="str">
        <f ca="1">IFERROR(__xludf.DUMMYFUNCTION("""COMPUTED_VALUE"""),"Table1")</f>
        <v>Table1</v>
      </c>
    </row>
    <row r="322" spans="1:14" ht="15.75" customHeight="1" x14ac:dyDescent="0.35">
      <c r="A322" s="12" t="str">
        <f ca="1">IFERROR(__xludf.DUMMYFUNCTION("""COMPUTED_VALUE"""),"Hibbs, Pierce Taylor")</f>
        <v>Hibbs, Pierce Taylor</v>
      </c>
      <c r="B322" s="12" t="str">
        <f ca="1">IFERROR(__xludf.DUMMYFUNCTION("""COMPUTED_VALUE""")," Pierce Taylor Hibbs")</f>
        <v xml:space="preserve"> Pierce Taylor Hibbs</v>
      </c>
      <c r="C322" s="12" t="str">
        <f ca="1">IFERROR(__xludf.DUMMYFUNCTION("""COMPUTED_VALUE"""),"Finding Hope in Hard Things: A Positive Take on Suffering")</f>
        <v>Finding Hope in Hard Things: A Positive Take on Suffering</v>
      </c>
      <c r="D322" s="12"/>
      <c r="E322" s="12" t="str">
        <f ca="1">IFERROR(__xludf.DUMMYFUNCTION("""COMPUTED_VALUE"""),"Book")</f>
        <v>Book</v>
      </c>
      <c r="F322" s="12" t="str">
        <f ca="1">IFERROR(__xludf.DUMMYFUNCTION("""COMPUTED_VALUE"""),"Discipleship")</f>
        <v>Discipleship</v>
      </c>
      <c r="G322" s="12"/>
      <c r="H322" s="12"/>
      <c r="I322" s="12"/>
      <c r="J322" s="12" t="str">
        <f ca="1">IFERROR(__xludf.DUMMYFUNCTION("""COMPUTED_VALUE"""),"Suffering")</f>
        <v>Suffering</v>
      </c>
      <c r="K322" s="13">
        <f ca="1">IFERROR(__xludf.DUMMYFUNCTION("""COMPUTED_VALUE"""),44772)</f>
        <v>44772</v>
      </c>
      <c r="L322" s="12"/>
      <c r="M322" s="12"/>
      <c r="N322" s="12" t="str">
        <f ca="1">IFERROR(__xludf.DUMMYFUNCTION("""COMPUTED_VALUE"""),"Table1")</f>
        <v>Table1</v>
      </c>
    </row>
    <row r="323" spans="1:14" ht="15.75" customHeight="1" x14ac:dyDescent="0.35">
      <c r="A323" s="12" t="str">
        <f ca="1">IFERROR(__xludf.DUMMYFUNCTION("""COMPUTED_VALUE"""),"Hill, Megan")</f>
        <v>Hill, Megan</v>
      </c>
      <c r="B323" s="12" t="str">
        <f ca="1">IFERROR(__xludf.DUMMYFUNCTION("""COMPUTED_VALUE""")," Megan Hill")</f>
        <v xml:space="preserve"> Megan Hill</v>
      </c>
      <c r="C323" s="12" t="str">
        <f ca="1">IFERROR(__xludf.DUMMYFUNCTION("""COMPUTED_VALUE"""),"Contentment: Seeing God's Goodness")</f>
        <v>Contentment: Seeing God's Goodness</v>
      </c>
      <c r="D323" s="12"/>
      <c r="E323" s="12" t="str">
        <f ca="1">IFERROR(__xludf.DUMMYFUNCTION("""COMPUTED_VALUE"""),"Book")</f>
        <v>Book</v>
      </c>
      <c r="F323" s="12" t="str">
        <f ca="1">IFERROR(__xludf.DUMMYFUNCTION("""COMPUTED_VALUE"""),"Understanding Mankind")</f>
        <v>Understanding Mankind</v>
      </c>
      <c r="G323" s="12"/>
      <c r="H323" s="12" t="str">
        <f ca="1">IFERROR(__xludf.DUMMYFUNCTION("""COMPUTED_VALUE"""),"Devotionals")</f>
        <v>Devotionals</v>
      </c>
      <c r="I323" s="12"/>
      <c r="J323" s="12"/>
      <c r="K323" s="13"/>
      <c r="L323" s="12"/>
      <c r="M323" s="12"/>
      <c r="N323" s="12" t="str">
        <f ca="1">IFERROR(__xludf.DUMMYFUNCTION("""COMPUTED_VALUE"""),"Table1")</f>
        <v>Table1</v>
      </c>
    </row>
    <row r="324" spans="1:14" ht="15.75" customHeight="1" x14ac:dyDescent="0.35">
      <c r="A324" s="12" t="str">
        <f ca="1">IFERROR(__xludf.DUMMYFUNCTION("""COMPUTED_VALUE"""),"Hoppe, Steve")</f>
        <v>Hoppe, Steve</v>
      </c>
      <c r="B324" s="12" t="str">
        <f ca="1">IFERROR(__xludf.DUMMYFUNCTION("""COMPUTED_VALUE""")," Steve Hoppe")</f>
        <v xml:space="preserve"> Steve Hoppe</v>
      </c>
      <c r="C324" s="12" t="str">
        <f ca="1">IFERROR(__xludf.DUMMYFUNCTION("""COMPUTED_VALUE"""),"Sipping Saltwater")</f>
        <v>Sipping Saltwater</v>
      </c>
      <c r="D324" s="12"/>
      <c r="E324" s="12" t="str">
        <f ca="1">IFERROR(__xludf.DUMMYFUNCTION("""COMPUTED_VALUE"""),"book")</f>
        <v>book</v>
      </c>
      <c r="F324" s="12" t="str">
        <f ca="1">IFERROR(__xludf.DUMMYFUNCTION("""COMPUTED_VALUE"""),"Discipleship")</f>
        <v>Discipleship</v>
      </c>
      <c r="G324" s="12"/>
      <c r="H324" s="12"/>
      <c r="I324" s="12"/>
      <c r="J324" s="12"/>
      <c r="K324" s="13">
        <f ca="1">IFERROR(__xludf.DUMMYFUNCTION("""COMPUTED_VALUE"""),43100)</f>
        <v>43100</v>
      </c>
      <c r="L324" s="12"/>
      <c r="M324" s="12"/>
      <c r="N324" s="12" t="str">
        <f ca="1">IFERROR(__xludf.DUMMYFUNCTION("""COMPUTED_VALUE"""),"Table1")</f>
        <v>Table1</v>
      </c>
    </row>
    <row r="325" spans="1:14" ht="15.75" customHeight="1" x14ac:dyDescent="0.35">
      <c r="A325" s="12" t="str">
        <f ca="1">IFERROR(__xludf.DUMMYFUNCTION("""COMPUTED_VALUE"""),"Horne, Rick")</f>
        <v>Horne, Rick</v>
      </c>
      <c r="B325" s="12" t="str">
        <f ca="1">IFERROR(__xludf.DUMMYFUNCTION("""COMPUTED_VALUE""")," Rick Horne")</f>
        <v xml:space="preserve"> Rick Horne</v>
      </c>
      <c r="C325" s="12" t="str">
        <f ca="1">IFERROR(__xludf.DUMMYFUNCTION("""COMPUTED_VALUE"""),"Get Outta My Face!: How to Reach Angry, Unmotivated Teens with Biblical Counsel")</f>
        <v>Get Outta My Face!: How to Reach Angry, Unmotivated Teens with Biblical Counsel</v>
      </c>
      <c r="D325" s="12"/>
      <c r="E325" s="12" t="str">
        <f ca="1">IFERROR(__xludf.DUMMYFUNCTION("""COMPUTED_VALUE"""),"Book")</f>
        <v>Book</v>
      </c>
      <c r="F325" s="12" t="str">
        <f ca="1">IFERROR(__xludf.DUMMYFUNCTION("""COMPUTED_VALUE"""),"Understanding Mankind")</f>
        <v>Understanding Mankind</v>
      </c>
      <c r="G325" s="12"/>
      <c r="H325" s="12"/>
      <c r="I325" s="12"/>
      <c r="J325" s="12" t="str">
        <f ca="1">IFERROR(__xludf.DUMMYFUNCTION("""COMPUTED_VALUE"""),"Parenting, Teaching Youth")</f>
        <v>Parenting, Teaching Youth</v>
      </c>
      <c r="K325" s="13">
        <f ca="1">IFERROR(__xludf.DUMMYFUNCTION("""COMPUTED_VALUE"""),40756)</f>
        <v>40756</v>
      </c>
      <c r="L325" s="12"/>
      <c r="M325" s="12"/>
      <c r="N325" s="12" t="str">
        <f ca="1">IFERROR(__xludf.DUMMYFUNCTION("""COMPUTED_VALUE"""),"Table1")</f>
        <v>Table1</v>
      </c>
    </row>
    <row r="326" spans="1:14" ht="15.75" customHeight="1" x14ac:dyDescent="0.35">
      <c r="A326" s="12" t="str">
        <f ca="1">IFERROR(__xludf.DUMMYFUNCTION("""COMPUTED_VALUE"""),"Horning, Krista")</f>
        <v>Horning, Krista</v>
      </c>
      <c r="B326" s="12" t="str">
        <f ca="1">IFERROR(__xludf.DUMMYFUNCTION("""COMPUTED_VALUE""")," Krista Horning")</f>
        <v xml:space="preserve"> Krista Horning</v>
      </c>
      <c r="C326" s="12" t="str">
        <f ca="1">IFERROR(__xludf.DUMMYFUNCTION("""COMPUTED_VALUE"""),"Just the Way I Am, God's Good Design in Disability")</f>
        <v>Just the Way I Am, God's Good Design in Disability</v>
      </c>
      <c r="D326" s="12"/>
      <c r="E326" s="12" t="str">
        <f ca="1">IFERROR(__xludf.DUMMYFUNCTION("""COMPUTED_VALUE"""),"Book")</f>
        <v>Book</v>
      </c>
      <c r="F326" s="12" t="str">
        <f ca="1">IFERROR(__xludf.DUMMYFUNCTION("""COMPUTED_VALUE"""),"Children")</f>
        <v>Children</v>
      </c>
      <c r="G326" s="12"/>
      <c r="H326" s="12"/>
      <c r="I326" s="12"/>
      <c r="J326" s="12"/>
      <c r="K326" s="13">
        <f ca="1">IFERROR(__xludf.DUMMYFUNCTION("""COMPUTED_VALUE"""),41011)</f>
        <v>41011</v>
      </c>
      <c r="L326" s="12"/>
      <c r="M326" s="12"/>
      <c r="N326" s="12" t="str">
        <f ca="1">IFERROR(__xludf.DUMMYFUNCTION("""COMPUTED_VALUE"""),"Table1")</f>
        <v>Table1</v>
      </c>
    </row>
    <row r="327" spans="1:14" ht="15.75" customHeight="1" x14ac:dyDescent="0.35">
      <c r="A327" s="12" t="str">
        <f ca="1">IFERROR(__xludf.DUMMYFUNCTION("""COMPUTED_VALUE"""),"Horton, Michael")</f>
        <v>Horton, Michael</v>
      </c>
      <c r="B327" s="12" t="str">
        <f ca="1">IFERROR(__xludf.DUMMYFUNCTION("""COMPUTED_VALUE""")," Michael Horton")</f>
        <v xml:space="preserve"> Michael Horton</v>
      </c>
      <c r="C327" s="12" t="str">
        <f ca="1">IFERROR(__xludf.DUMMYFUNCTION("""COMPUTED_VALUE"""),"The Gospel-Driven Life")</f>
        <v>The Gospel-Driven Life</v>
      </c>
      <c r="D327" s="12"/>
      <c r="E327" s="12" t="str">
        <f ca="1">IFERROR(__xludf.DUMMYFUNCTION("""COMPUTED_VALUE"""),"Book")</f>
        <v>Book</v>
      </c>
      <c r="F327" s="12" t="str">
        <f ca="1">IFERROR(__xludf.DUMMYFUNCTION("""COMPUTED_VALUE"""),"Discipleship")</f>
        <v>Discipleship</v>
      </c>
      <c r="G327" s="12"/>
      <c r="H327" s="12"/>
      <c r="I327" s="12"/>
      <c r="J327" s="12" t="str">
        <f ca="1">IFERROR(__xludf.DUMMYFUNCTION("""COMPUTED_VALUE"""),"Gospel")</f>
        <v>Gospel</v>
      </c>
      <c r="K327" s="13">
        <f ca="1">IFERROR(__xludf.DUMMYFUNCTION("""COMPUTED_VALUE"""),40188)</f>
        <v>40188</v>
      </c>
      <c r="L327" s="12"/>
      <c r="M327" s="12"/>
      <c r="N327" s="12" t="str">
        <f ca="1">IFERROR(__xludf.DUMMYFUNCTION("""COMPUTED_VALUE"""),"Table1")</f>
        <v>Table1</v>
      </c>
    </row>
    <row r="328" spans="1:14" ht="15.75" customHeight="1" x14ac:dyDescent="0.35">
      <c r="A328" s="12" t="str">
        <f ca="1">IFERROR(__xludf.DUMMYFUNCTION("""COMPUTED_VALUE"""),"Horton, Michael")</f>
        <v>Horton, Michael</v>
      </c>
      <c r="B328" s="12" t="str">
        <f ca="1">IFERROR(__xludf.DUMMYFUNCTION("""COMPUTED_VALUE""")," Michael Horton")</f>
        <v xml:space="preserve"> Michael Horton</v>
      </c>
      <c r="C328" s="12" t="str">
        <f ca="1">IFERROR(__xludf.DUMMYFUNCTION("""COMPUTED_VALUE"""),"Putting Amazing Back into Grace")</f>
        <v>Putting Amazing Back into Grace</v>
      </c>
      <c r="D328" s="12"/>
      <c r="E328" s="12" t="str">
        <f ca="1">IFERROR(__xludf.DUMMYFUNCTION("""COMPUTED_VALUE"""),"Book")</f>
        <v>Book</v>
      </c>
      <c r="F328" s="12" t="str">
        <f ca="1">IFERROR(__xludf.DUMMYFUNCTION("""COMPUTED_VALUE"""),"Salvation")</f>
        <v>Salvation</v>
      </c>
      <c r="G328" s="12"/>
      <c r="H328" s="12"/>
      <c r="I328" s="12"/>
      <c r="J328" s="12"/>
      <c r="K328" s="13">
        <f ca="1">IFERROR(__xludf.DUMMYFUNCTION("""COMPUTED_VALUE"""),40247)</f>
        <v>40247</v>
      </c>
      <c r="L328" s="12" t="str">
        <f ca="1">IFERROR(__xludf.DUMMYFUNCTION("""COMPUTED_VALUE"""),"Missing as of February 2020")</f>
        <v>Missing as of February 2020</v>
      </c>
      <c r="M328" s="12"/>
      <c r="N328" s="12" t="str">
        <f ca="1">IFERROR(__xludf.DUMMYFUNCTION("""COMPUTED_VALUE"""),"Table1")</f>
        <v>Table1</v>
      </c>
    </row>
    <row r="329" spans="1:14" ht="15.75" customHeight="1" x14ac:dyDescent="0.35">
      <c r="A329" s="12" t="str">
        <f ca="1">IFERROR(__xludf.DUMMYFUNCTION("""COMPUTED_VALUE"""),"Howard, Betsy Childs")</f>
        <v>Howard, Betsy Childs</v>
      </c>
      <c r="B329" s="12" t="str">
        <f ca="1">IFERROR(__xludf.DUMMYFUNCTION("""COMPUTED_VALUE""")," Betsy Childs Howard")</f>
        <v xml:space="preserve"> Betsy Childs Howard</v>
      </c>
      <c r="C329" s="12" t="str">
        <f ca="1">IFERROR(__xludf.DUMMYFUNCTION("""COMPUTED_VALUE"""),"Arlo and the Great Big Cover-Up")</f>
        <v>Arlo and the Great Big Cover-Up</v>
      </c>
      <c r="D329" s="12"/>
      <c r="E329" s="12" t="str">
        <f ca="1">IFERROR(__xludf.DUMMYFUNCTION("""COMPUTED_VALUE"""),"Book")</f>
        <v>Book</v>
      </c>
      <c r="F329" s="12" t="str">
        <f ca="1">IFERROR(__xludf.DUMMYFUNCTION("""COMPUTED_VALUE"""),"Children")</f>
        <v>Children</v>
      </c>
      <c r="G329" s="12"/>
      <c r="H329" s="12"/>
      <c r="I329" s="12"/>
      <c r="J329" s="12"/>
      <c r="K329" s="13">
        <f ca="1">IFERROR(__xludf.DUMMYFUNCTION("""COMPUTED_VALUE"""),44044)</f>
        <v>44044</v>
      </c>
      <c r="L329" s="12"/>
      <c r="M329" s="12"/>
      <c r="N329" s="12" t="str">
        <f ca="1">IFERROR(__xludf.DUMMYFUNCTION("""COMPUTED_VALUE"""),"Table1")</f>
        <v>Table1</v>
      </c>
    </row>
    <row r="330" spans="1:14" ht="15.75" customHeight="1" x14ac:dyDescent="0.35">
      <c r="A330" s="12" t="str">
        <f ca="1">IFERROR(__xludf.DUMMYFUNCTION("""COMPUTED_VALUE"""),"Howat, Irene")</f>
        <v>Howat, Irene</v>
      </c>
      <c r="B330" s="12" t="str">
        <f ca="1">IFERROR(__xludf.DUMMYFUNCTION("""COMPUTED_VALUE""")," Irene Howat")</f>
        <v xml:space="preserve"> Irene Howat</v>
      </c>
      <c r="C330" s="12" t="str">
        <f ca="1">IFERROR(__xludf.DUMMYFUNCTION("""COMPUTED_VALUE"""),"Adoniram Judson: Danger on Streets of Gold")</f>
        <v>Adoniram Judson: Danger on Streets of Gold</v>
      </c>
      <c r="D330" s="12" t="str">
        <f ca="1">IFERROR(__xludf.DUMMYFUNCTION("""COMPUTED_VALUE"""),"Trail Blazers")</f>
        <v>Trail Blazers</v>
      </c>
      <c r="E330" s="12" t="str">
        <f ca="1">IFERROR(__xludf.DUMMYFUNCTION("""COMPUTED_VALUE"""),"Book")</f>
        <v>Book</v>
      </c>
      <c r="F330" s="12" t="str">
        <f ca="1">IFERROR(__xludf.DUMMYFUNCTION("""COMPUTED_VALUE"""),"Children")</f>
        <v>Children</v>
      </c>
      <c r="G330" s="12"/>
      <c r="H330" s="12"/>
      <c r="I330" s="12"/>
      <c r="J330" s="12"/>
      <c r="K330" s="13">
        <f ca="1">IFERROR(__xludf.DUMMYFUNCTION("""COMPUTED_VALUE"""),41804)</f>
        <v>41804</v>
      </c>
      <c r="L330" s="12"/>
      <c r="M330" s="12"/>
      <c r="N330" s="12" t="str">
        <f ca="1">IFERROR(__xludf.DUMMYFUNCTION("""COMPUTED_VALUE"""),"Table1")</f>
        <v>Table1</v>
      </c>
    </row>
    <row r="331" spans="1:14" ht="15.75" customHeight="1" x14ac:dyDescent="0.35">
      <c r="A331" s="12" t="str">
        <f ca="1">IFERROR(__xludf.DUMMYFUNCTION("""COMPUTED_VALUE"""),"Hubach, Stephanie O.")</f>
        <v>Hubach, Stephanie O.</v>
      </c>
      <c r="B331" s="12" t="str">
        <f ca="1">IFERROR(__xludf.DUMMYFUNCTION("""COMPUTED_VALUE""")," Stephanie O. Hubach")</f>
        <v xml:space="preserve"> Stephanie O. Hubach</v>
      </c>
      <c r="C331" s="12" t="str">
        <f ca="1">IFERROR(__xludf.DUMMYFUNCTION("""COMPUTED_VALUE"""),"Same Lake, Different Boat: Coming Alongside People Touched by Disability")</f>
        <v>Same Lake, Different Boat: Coming Alongside People Touched by Disability</v>
      </c>
      <c r="D331" s="12"/>
      <c r="E331" s="12" t="str">
        <f ca="1">IFERROR(__xludf.DUMMYFUNCTION("""COMPUTED_VALUE"""),"Book")</f>
        <v>Book</v>
      </c>
      <c r="F331" s="12" t="str">
        <f ca="1">IFERROR(__xludf.DUMMYFUNCTION("""COMPUTED_VALUE"""),"Understanding Mankind")</f>
        <v>Understanding Mankind</v>
      </c>
      <c r="G331" s="12"/>
      <c r="H331" s="12"/>
      <c r="I331" s="12"/>
      <c r="J331" s="12" t="str">
        <f ca="1">IFERROR(__xludf.DUMMYFUNCTION("""COMPUTED_VALUE"""),"Disabilities")</f>
        <v>Disabilities</v>
      </c>
      <c r="K331" s="13">
        <f ca="1">IFERROR(__xludf.DUMMYFUNCTION("""COMPUTED_VALUE"""),43832)</f>
        <v>43832</v>
      </c>
      <c r="L331" s="12"/>
      <c r="M331" s="12"/>
      <c r="N331" s="12" t="str">
        <f ca="1">IFERROR(__xludf.DUMMYFUNCTION("""COMPUTED_VALUE"""),"Table1")</f>
        <v>Table1</v>
      </c>
    </row>
    <row r="332" spans="1:14" ht="15.75" customHeight="1" x14ac:dyDescent="0.35">
      <c r="A332" s="12" t="str">
        <f ca="1">IFERROR(__xludf.DUMMYFUNCTION("""COMPUTED_VALUE"""),"Huges, R. Kent &amp; W. Carey")</f>
        <v>Huges, R. Kent &amp; W. Carey</v>
      </c>
      <c r="B332" s="12" t="str">
        <f ca="1">IFERROR(__xludf.DUMMYFUNCTION("""COMPUTED_VALUE""")," R. Kent &amp; W. Carey Huges")</f>
        <v xml:space="preserve"> R. Kent &amp; W. Carey Huges</v>
      </c>
      <c r="C332" s="12" t="str">
        <f ca="1">IFERROR(__xludf.DUMMYFUNCTION("""COMPUTED_VALUE"""),"Disciplines of a Godly Young Man")</f>
        <v>Disciplines of a Godly Young Man</v>
      </c>
      <c r="D332" s="12"/>
      <c r="E332" s="12" t="str">
        <f ca="1">IFERROR(__xludf.DUMMYFUNCTION("""COMPUTED_VALUE"""),"Book")</f>
        <v>Book</v>
      </c>
      <c r="F332" s="12" t="str">
        <f ca="1">IFERROR(__xludf.DUMMYFUNCTION("""COMPUTED_VALUE"""),"Children")</f>
        <v>Children</v>
      </c>
      <c r="G332" s="12"/>
      <c r="H332" s="12"/>
      <c r="I332" s="12"/>
      <c r="J332" s="12"/>
      <c r="K332" s="13">
        <f ca="1">IFERROR(__xludf.DUMMYFUNCTION("""COMPUTED_VALUE"""),41011)</f>
        <v>41011</v>
      </c>
      <c r="L332" s="12"/>
      <c r="M332" s="12"/>
      <c r="N332" s="12" t="str">
        <f ca="1">IFERROR(__xludf.DUMMYFUNCTION("""COMPUTED_VALUE"""),"Table1")</f>
        <v>Table1</v>
      </c>
    </row>
    <row r="333" spans="1:14" ht="15.75" customHeight="1" x14ac:dyDescent="0.35">
      <c r="A333" s="12" t="str">
        <f ca="1">IFERROR(__xludf.DUMMYFUNCTION("""COMPUTED_VALUE"""),"James, Sharon")</f>
        <v>James, Sharon</v>
      </c>
      <c r="B333" s="12" t="str">
        <f ca="1">IFERROR(__xludf.DUMMYFUNCTION("""COMPUTED_VALUE""")," Sharon James")</f>
        <v xml:space="preserve"> Sharon James</v>
      </c>
      <c r="C333" s="12" t="str">
        <f ca="1">IFERROR(__xludf.DUMMYFUNCTION("""COMPUTED_VALUE"""),"Elizabeth Prentiss: 'More Love to Thee'")</f>
        <v>Elizabeth Prentiss: 'More Love to Thee'</v>
      </c>
      <c r="D333" s="12"/>
      <c r="E333" s="12" t="str">
        <f ca="1">IFERROR(__xludf.DUMMYFUNCTION("""COMPUTED_VALUE"""),"Book")</f>
        <v>Book</v>
      </c>
      <c r="F333" s="12" t="str">
        <f ca="1">IFERROR(__xludf.DUMMYFUNCTION("""COMPUTED_VALUE"""),"Biography")</f>
        <v>Biography</v>
      </c>
      <c r="G333" s="12"/>
      <c r="H333" s="12"/>
      <c r="I333" s="12"/>
      <c r="J333" s="12"/>
      <c r="K333" s="13">
        <f ca="1">IFERROR(__xludf.DUMMYFUNCTION("""COMPUTED_VALUE"""),40039)</f>
        <v>40039</v>
      </c>
      <c r="L333" s="12"/>
      <c r="M333" s="12"/>
      <c r="N333" s="12" t="str">
        <f ca="1">IFERROR(__xludf.DUMMYFUNCTION("""COMPUTED_VALUE"""),"Table1")</f>
        <v>Table1</v>
      </c>
    </row>
    <row r="334" spans="1:14" ht="15.75" customHeight="1" x14ac:dyDescent="0.35">
      <c r="A334" s="12" t="str">
        <f ca="1">IFERROR(__xludf.DUMMYFUNCTION("""COMPUTED_VALUE"""),"James, Sharon")</f>
        <v>James, Sharon</v>
      </c>
      <c r="B334" s="12" t="str">
        <f ca="1">IFERROR(__xludf.DUMMYFUNCTION("""COMPUTED_VALUE""")," Sharon James")</f>
        <v xml:space="preserve"> Sharon James</v>
      </c>
      <c r="C334" s="12" t="str">
        <f ca="1">IFERROR(__xludf.DUMMYFUNCTION("""COMPUTED_VALUE"""),"In Trouble and In Joy")</f>
        <v>In Trouble and In Joy</v>
      </c>
      <c r="D334" s="12"/>
      <c r="E334" s="12" t="str">
        <f ca="1">IFERROR(__xludf.DUMMYFUNCTION("""COMPUTED_VALUE"""),"Book")</f>
        <v>Book</v>
      </c>
      <c r="F334" s="12" t="str">
        <f ca="1">IFERROR(__xludf.DUMMYFUNCTION("""COMPUTED_VALUE"""),"Biography")</f>
        <v>Biography</v>
      </c>
      <c r="G334" s="12"/>
      <c r="H334" s="12"/>
      <c r="I334" s="12"/>
      <c r="J334" s="12"/>
      <c r="K334" s="13">
        <f ca="1">IFERROR(__xludf.DUMMYFUNCTION("""COMPUTED_VALUE"""),40040)</f>
        <v>40040</v>
      </c>
      <c r="L334" s="12"/>
      <c r="M334" s="12"/>
      <c r="N334" s="12" t="str">
        <f ca="1">IFERROR(__xludf.DUMMYFUNCTION("""COMPUTED_VALUE"""),"Table1")</f>
        <v>Table1</v>
      </c>
    </row>
    <row r="335" spans="1:14" ht="15.75" customHeight="1" x14ac:dyDescent="0.35">
      <c r="A335" s="12" t="str">
        <f ca="1">IFERROR(__xludf.DUMMYFUNCTION("""COMPUTED_VALUE"""),"James, Sharon")</f>
        <v>James, Sharon</v>
      </c>
      <c r="B335" s="12" t="str">
        <f ca="1">IFERROR(__xludf.DUMMYFUNCTION("""COMPUTED_VALUE""")," Sharon James")</f>
        <v xml:space="preserve"> Sharon James</v>
      </c>
      <c r="C335" s="12" t="str">
        <f ca="1">IFERROR(__xludf.DUMMYFUNCTION("""COMPUTED_VALUE"""),"My Heart in His Hands: Ann Judson of Burma")</f>
        <v>My Heart in His Hands: Ann Judson of Burma</v>
      </c>
      <c r="D335" s="12"/>
      <c r="E335" s="12" t="str">
        <f ca="1">IFERROR(__xludf.DUMMYFUNCTION("""COMPUTED_VALUE"""),"Book")</f>
        <v>Book</v>
      </c>
      <c r="F335" s="12" t="str">
        <f ca="1">IFERROR(__xludf.DUMMYFUNCTION("""COMPUTED_VALUE"""),"Biography")</f>
        <v>Biography</v>
      </c>
      <c r="G335" s="12"/>
      <c r="H335" s="12"/>
      <c r="I335" s="12"/>
      <c r="J335" s="12" t="str">
        <f ca="1">IFERROR(__xludf.DUMMYFUNCTION("""COMPUTED_VALUE"""),"Missions")</f>
        <v>Missions</v>
      </c>
      <c r="K335" s="13">
        <f ca="1">IFERROR(__xludf.DUMMYFUNCTION("""COMPUTED_VALUE"""),40041)</f>
        <v>40041</v>
      </c>
      <c r="L335" s="12"/>
      <c r="M335" s="12"/>
      <c r="N335" s="12" t="str">
        <f ca="1">IFERROR(__xludf.DUMMYFUNCTION("""COMPUTED_VALUE"""),"Table1")</f>
        <v>Table1</v>
      </c>
    </row>
    <row r="336" spans="1:14" ht="15.75" customHeight="1" x14ac:dyDescent="0.35">
      <c r="A336" s="12" t="str">
        <f ca="1">IFERROR(__xludf.DUMMYFUNCTION("""COMPUTED_VALUE"""),"Jamieson, Bobby")</f>
        <v>Jamieson, Bobby</v>
      </c>
      <c r="B336" s="12" t="str">
        <f ca="1">IFERROR(__xludf.DUMMYFUNCTION("""COMPUTED_VALUE""")," Bobby Jamieson")</f>
        <v xml:space="preserve"> Bobby Jamieson</v>
      </c>
      <c r="C336" s="12" t="str">
        <f ca="1">IFERROR(__xludf.DUMMYFUNCTION("""COMPUTED_VALUE"""),"Going Public: Why Baptism is Required for Membership")</f>
        <v>Going Public: Why Baptism is Required for Membership</v>
      </c>
      <c r="D336" s="12" t="str">
        <f ca="1">IFERROR(__xludf.DUMMYFUNCTION("""COMPUTED_VALUE"""),"9 Marks")</f>
        <v>9 Marks</v>
      </c>
      <c r="E336" s="12" t="str">
        <f ca="1">IFERROR(__xludf.DUMMYFUNCTION("""COMPUTED_VALUE"""),"Book")</f>
        <v>Book</v>
      </c>
      <c r="F336" s="12" t="str">
        <f ca="1">IFERROR(__xludf.DUMMYFUNCTION("""COMPUTED_VALUE"""),"Church")</f>
        <v>Church</v>
      </c>
      <c r="G336" s="12"/>
      <c r="H336" s="12"/>
      <c r="I336" s="12" t="str">
        <f ca="1">IFERROR(__xludf.DUMMYFUNCTION("""COMPUTED_VALUE"""),"9 Marks?")</f>
        <v>9 Marks?</v>
      </c>
      <c r="J336" s="12" t="str">
        <f ca="1">IFERROR(__xludf.DUMMYFUNCTION("""COMPUTED_VALUE"""),"Baptism, Church Membership")</f>
        <v>Baptism, Church Membership</v>
      </c>
      <c r="K336" s="13">
        <f ca="1">IFERROR(__xludf.DUMMYFUNCTION("""COMPUTED_VALUE"""),43211)</f>
        <v>43211</v>
      </c>
      <c r="L336" s="12"/>
      <c r="M336" s="12"/>
      <c r="N336" s="12" t="str">
        <f ca="1">IFERROR(__xludf.DUMMYFUNCTION("""COMPUTED_VALUE"""),"Table1")</f>
        <v>Table1</v>
      </c>
    </row>
    <row r="337" spans="1:14" ht="15.75" customHeight="1" x14ac:dyDescent="0.35">
      <c r="A337" s="12" t="str">
        <f ca="1">IFERROR(__xludf.DUMMYFUNCTION("""COMPUTED_VALUE"""),"Jamieson, Bobby")</f>
        <v>Jamieson, Bobby</v>
      </c>
      <c r="B337" s="12" t="str">
        <f ca="1">IFERROR(__xludf.DUMMYFUNCTION("""COMPUTED_VALUE""")," Bobby Jamieson")</f>
        <v xml:space="preserve"> Bobby Jamieson</v>
      </c>
      <c r="C337" s="12" t="str">
        <f ca="1">IFERROR(__xludf.DUMMYFUNCTION("""COMPUTED_VALUE"""),"Sound Doctrine")</f>
        <v>Sound Doctrine</v>
      </c>
      <c r="D337" s="12" t="str">
        <f ca="1">IFERROR(__xludf.DUMMYFUNCTION("""COMPUTED_VALUE"""),"9 Marks")</f>
        <v>9 Marks</v>
      </c>
      <c r="E337" s="12" t="str">
        <f ca="1">IFERROR(__xludf.DUMMYFUNCTION("""COMPUTED_VALUE"""),"Book")</f>
        <v>Book</v>
      </c>
      <c r="F337" s="12" t="str">
        <f ca="1">IFERROR(__xludf.DUMMYFUNCTION("""COMPUTED_VALUE"""),"Church")</f>
        <v>Church</v>
      </c>
      <c r="G337" s="12"/>
      <c r="H337" s="12" t="str">
        <f ca="1">IFERROR(__xludf.DUMMYFUNCTION("""COMPUTED_VALUE"""),"9 Marks")</f>
        <v>9 Marks</v>
      </c>
      <c r="I337" s="12"/>
      <c r="J337" s="12"/>
      <c r="K337" s="13">
        <f ca="1">IFERROR(__xludf.DUMMYFUNCTION("""COMPUTED_VALUE"""),41468)</f>
        <v>41468</v>
      </c>
      <c r="L337" s="12"/>
      <c r="M337" s="12"/>
      <c r="N337" s="12" t="str">
        <f ca="1">IFERROR(__xludf.DUMMYFUNCTION("""COMPUTED_VALUE"""),"Table1")</f>
        <v>Table1</v>
      </c>
    </row>
    <row r="338" spans="1:14" ht="15.75" customHeight="1" x14ac:dyDescent="0.35">
      <c r="A338" s="12" t="str">
        <f ca="1">IFERROR(__xludf.DUMMYFUNCTION("""COMPUTED_VALUE"""),"Jamieson, Bobby")</f>
        <v>Jamieson, Bobby</v>
      </c>
      <c r="B338" s="12" t="str">
        <f ca="1">IFERROR(__xludf.DUMMYFUNCTION("""COMPUTED_VALUE""")," Bobby Jamieson")</f>
        <v xml:space="preserve"> Bobby Jamieson</v>
      </c>
      <c r="C338" s="12" t="str">
        <f ca="1">IFERROR(__xludf.DUMMYFUNCTION("""COMPUTED_VALUE"""),"Understanding Baptism")</f>
        <v>Understanding Baptism</v>
      </c>
      <c r="D338" s="12" t="str">
        <f ca="1">IFERROR(__xludf.DUMMYFUNCTION("""COMPUTED_VALUE"""),"Church Basics")</f>
        <v>Church Basics</v>
      </c>
      <c r="E338" s="12" t="str">
        <f ca="1">IFERROR(__xludf.DUMMYFUNCTION("""COMPUTED_VALUE"""),"Book")</f>
        <v>Book</v>
      </c>
      <c r="F338" s="12" t="str">
        <f ca="1">IFERROR(__xludf.DUMMYFUNCTION("""COMPUTED_VALUE"""),"Church")</f>
        <v>Church</v>
      </c>
      <c r="G338" s="12"/>
      <c r="H338" s="12"/>
      <c r="I338" s="12"/>
      <c r="J338" s="12" t="str">
        <f ca="1">IFERROR(__xludf.DUMMYFUNCTION("""COMPUTED_VALUE"""),"Baptism")</f>
        <v>Baptism</v>
      </c>
      <c r="K338" s="13">
        <f ca="1">IFERROR(__xludf.DUMMYFUNCTION("""COMPUTED_VALUE"""),43211)</f>
        <v>43211</v>
      </c>
      <c r="L338" s="12"/>
      <c r="M338" s="12"/>
      <c r="N338" s="12" t="str">
        <f ca="1">IFERROR(__xludf.DUMMYFUNCTION("""COMPUTED_VALUE"""),"Table1")</f>
        <v>Table1</v>
      </c>
    </row>
    <row r="339" spans="1:14" ht="15.75" customHeight="1" x14ac:dyDescent="0.35">
      <c r="A339" s="12" t="str">
        <f ca="1">IFERROR(__xludf.DUMMYFUNCTION("""COMPUTED_VALUE"""),"Jamieson, Bobby")</f>
        <v>Jamieson, Bobby</v>
      </c>
      <c r="B339" s="12" t="str">
        <f ca="1">IFERROR(__xludf.DUMMYFUNCTION("""COMPUTED_VALUE""")," Bobby Jamieson")</f>
        <v xml:space="preserve"> Bobby Jamieson</v>
      </c>
      <c r="C339" s="12" t="str">
        <f ca="1">IFERROR(__xludf.DUMMYFUNCTION("""COMPUTED_VALUE"""),"Understanding the Lord's Supper")</f>
        <v>Understanding the Lord's Supper</v>
      </c>
      <c r="D339" s="12" t="str">
        <f ca="1">IFERROR(__xludf.DUMMYFUNCTION("""COMPUTED_VALUE"""),"Church Basics")</f>
        <v>Church Basics</v>
      </c>
      <c r="E339" s="12" t="str">
        <f ca="1">IFERROR(__xludf.DUMMYFUNCTION("""COMPUTED_VALUE"""),"Book")</f>
        <v>Book</v>
      </c>
      <c r="F339" s="12" t="str">
        <f ca="1">IFERROR(__xludf.DUMMYFUNCTION("""COMPUTED_VALUE"""),"Church")</f>
        <v>Church</v>
      </c>
      <c r="G339" s="12"/>
      <c r="H339" s="12"/>
      <c r="I339" s="12"/>
      <c r="J339" s="12" t="str">
        <f ca="1">IFERROR(__xludf.DUMMYFUNCTION("""COMPUTED_VALUE"""),"Communion")</f>
        <v>Communion</v>
      </c>
      <c r="K339" s="13">
        <f ca="1">IFERROR(__xludf.DUMMYFUNCTION("""COMPUTED_VALUE"""),43211)</f>
        <v>43211</v>
      </c>
      <c r="L339" s="12"/>
      <c r="M339" s="12"/>
      <c r="N339" s="12" t="str">
        <f ca="1">IFERROR(__xludf.DUMMYFUNCTION("""COMPUTED_VALUE"""),"Table1")</f>
        <v>Table1</v>
      </c>
    </row>
    <row r="340" spans="1:14" ht="15.75" customHeight="1" x14ac:dyDescent="0.35">
      <c r="A340" s="12" t="str">
        <f ca="1">IFERROR(__xludf.DUMMYFUNCTION("""COMPUTED_VALUE"""),"Jeffrey, Peter")</f>
        <v>Jeffrey, Peter</v>
      </c>
      <c r="B340" s="12" t="str">
        <f ca="1">IFERROR(__xludf.DUMMYFUNCTION("""COMPUTED_VALUE""")," Peter Jeffrey")</f>
        <v xml:space="preserve"> Peter Jeffrey</v>
      </c>
      <c r="C340" s="12" t="str">
        <f ca="1">IFERROR(__xludf.DUMMYFUNCTION("""COMPUTED_VALUE"""),"Evangelicals Then and Now")</f>
        <v>Evangelicals Then and Now</v>
      </c>
      <c r="D340" s="12"/>
      <c r="E340" s="12" t="str">
        <f ca="1">IFERROR(__xludf.DUMMYFUNCTION("""COMPUTED_VALUE"""),"Book")</f>
        <v>Book</v>
      </c>
      <c r="F340" s="12" t="str">
        <f ca="1">IFERROR(__xludf.DUMMYFUNCTION("""COMPUTED_VALUE"""),"Church History")</f>
        <v>Church History</v>
      </c>
      <c r="G340" s="12"/>
      <c r="H340" s="12"/>
      <c r="I340" s="12"/>
      <c r="J340" s="12" t="str">
        <f ca="1">IFERROR(__xludf.DUMMYFUNCTION("""COMPUTED_VALUE"""),"History")</f>
        <v>History</v>
      </c>
      <c r="K340" s="13">
        <f ca="1">IFERROR(__xludf.DUMMYFUNCTION("""COMPUTED_VALUE"""),40034)</f>
        <v>40034</v>
      </c>
      <c r="L340" s="12"/>
      <c r="M340" s="12"/>
      <c r="N340" s="12" t="str">
        <f ca="1">IFERROR(__xludf.DUMMYFUNCTION("""COMPUTED_VALUE"""),"Table1")</f>
        <v>Table1</v>
      </c>
    </row>
    <row r="341" spans="1:14" ht="15.75" customHeight="1" x14ac:dyDescent="0.35">
      <c r="A341" s="12" t="str">
        <f ca="1">IFERROR(__xludf.DUMMYFUNCTION("""COMPUTED_VALUE"""),"Jensen, Phillip D")</f>
        <v>Jensen, Phillip D</v>
      </c>
      <c r="B341" s="12" t="str">
        <f ca="1">IFERROR(__xludf.DUMMYFUNCTION("""COMPUTED_VALUE""")," Phillip D Jensen")</f>
        <v xml:space="preserve"> Phillip D Jensen</v>
      </c>
      <c r="C341" s="12" t="str">
        <f ca="1">IFERROR(__xludf.DUMMYFUNCTION("""COMPUTED_VALUE"""),"Guidance and the Voice of God")</f>
        <v>Guidance and the Voice of God</v>
      </c>
      <c r="D341" s="12" t="str">
        <f ca="1">IFERROR(__xludf.DUMMYFUNCTION("""COMPUTED_VALUE"""),"Payne")</f>
        <v>Payne</v>
      </c>
      <c r="E341" s="12" t="str">
        <f ca="1">IFERROR(__xludf.DUMMYFUNCTION("""COMPUTED_VALUE"""),"Book")</f>
        <v>Book</v>
      </c>
      <c r="F341" s="12" t="str">
        <f ca="1">IFERROR(__xludf.DUMMYFUNCTION("""COMPUTED_VALUE"""),"Discipleship")</f>
        <v>Discipleship</v>
      </c>
      <c r="G341" s="12"/>
      <c r="H341" s="12"/>
      <c r="I341" s="12"/>
      <c r="J341" s="12"/>
      <c r="K341" s="13">
        <f ca="1">IFERROR(__xludf.DUMMYFUNCTION("""COMPUTED_VALUE"""),40431)</f>
        <v>40431</v>
      </c>
      <c r="L341" s="12"/>
      <c r="M341" s="12"/>
      <c r="N341" s="12" t="str">
        <f ca="1">IFERROR(__xludf.DUMMYFUNCTION("""COMPUTED_VALUE"""),"Table1")</f>
        <v>Table1</v>
      </c>
    </row>
    <row r="342" spans="1:14" ht="15.75" customHeight="1" x14ac:dyDescent="0.35">
      <c r="A342" s="12" t="str">
        <f ca="1">IFERROR(__xludf.DUMMYFUNCTION("""COMPUTED_VALUE"""),"Johnson, Dennis E")</f>
        <v>Johnson, Dennis E</v>
      </c>
      <c r="B342" s="12" t="str">
        <f ca="1">IFERROR(__xludf.DUMMYFUNCTION("""COMPUTED_VALUE""")," Dennis E Johnson")</f>
        <v xml:space="preserve"> Dennis E Johnson</v>
      </c>
      <c r="C342" s="12" t="str">
        <f ca="1">IFERROR(__xludf.DUMMYFUNCTION("""COMPUTED_VALUE"""),"Walking with Jesus Through His Word")</f>
        <v>Walking with Jesus Through His Word</v>
      </c>
      <c r="D342" s="12"/>
      <c r="E342" s="12" t="str">
        <f ca="1">IFERROR(__xludf.DUMMYFUNCTION("""COMPUTED_VALUE"""),"Book")</f>
        <v>Book</v>
      </c>
      <c r="F342" s="12" t="str">
        <f ca="1">IFERROR(__xludf.DUMMYFUNCTION("""COMPUTED_VALUE"""),"Theology")</f>
        <v>Theology</v>
      </c>
      <c r="G342" s="12"/>
      <c r="H342" s="12"/>
      <c r="I342" s="12"/>
      <c r="J342" s="12"/>
      <c r="K342" s="13">
        <f ca="1">IFERROR(__xludf.DUMMYFUNCTION("""COMPUTED_VALUE"""),42200)</f>
        <v>42200</v>
      </c>
      <c r="L342" s="12"/>
      <c r="M342" s="12"/>
      <c r="N342" s="12" t="str">
        <f ca="1">IFERROR(__xludf.DUMMYFUNCTION("""COMPUTED_VALUE"""),"Table1")</f>
        <v>Table1</v>
      </c>
    </row>
    <row r="343" spans="1:14" ht="15.75" customHeight="1" x14ac:dyDescent="0.35">
      <c r="A343" s="12" t="str">
        <f ca="1">IFERROR(__xludf.DUMMYFUNCTION("""COMPUTED_VALUE"""),"Johnston, Andy")</f>
        <v>Johnston, Andy</v>
      </c>
      <c r="B343" s="12" t="str">
        <f ca="1">IFERROR(__xludf.DUMMYFUNCTION("""COMPUTED_VALUE""")," Andy Johnston")</f>
        <v xml:space="preserve"> Andy Johnston</v>
      </c>
      <c r="C343" s="12" t="str">
        <f ca="1">IFERROR(__xludf.DUMMYFUNCTION("""COMPUTED_VALUE"""),"Convinced by Scripture")</f>
        <v>Convinced by Scripture</v>
      </c>
      <c r="D343" s="12"/>
      <c r="E343" s="12" t="str">
        <f ca="1">IFERROR(__xludf.DUMMYFUNCTION("""COMPUTED_VALUE"""),"Book")</f>
        <v>Book</v>
      </c>
      <c r="F343" s="12" t="str">
        <f ca="1">IFERROR(__xludf.DUMMYFUNCTION("""COMPUTED_VALUE"""),"Biography")</f>
        <v>Biography</v>
      </c>
      <c r="G343" s="12"/>
      <c r="H343" s="12"/>
      <c r="I343" s="12"/>
      <c r="J343" s="12"/>
      <c r="K343" s="13"/>
      <c r="L343" s="12"/>
      <c r="M343" s="12"/>
      <c r="N343" s="12" t="str">
        <f ca="1">IFERROR(__xludf.DUMMYFUNCTION("""COMPUTED_VALUE"""),"Table1")</f>
        <v>Table1</v>
      </c>
    </row>
    <row r="344" spans="1:14" ht="15.75" customHeight="1" x14ac:dyDescent="0.35">
      <c r="A344" s="12" t="str">
        <f ca="1">IFERROR(__xludf.DUMMYFUNCTION("""COMPUTED_VALUE"""),"Jones, Mark")</f>
        <v>Jones, Mark</v>
      </c>
      <c r="B344" s="12" t="str">
        <f ca="1">IFERROR(__xludf.DUMMYFUNCTION("""COMPUTED_VALUE""")," Mark Jones")</f>
        <v xml:space="preserve"> Mark Jones</v>
      </c>
      <c r="C344" s="12" t="str">
        <f ca="1">IFERROR(__xludf.DUMMYFUNCTION("""COMPUTED_VALUE"""),"Antinomianism ")</f>
        <v xml:space="preserve">Antinomianism </v>
      </c>
      <c r="D344" s="12"/>
      <c r="E344" s="12" t="str">
        <f ca="1">IFERROR(__xludf.DUMMYFUNCTION("""COMPUTED_VALUE"""),"Book")</f>
        <v>Book</v>
      </c>
      <c r="F344" s="12" t="str">
        <f ca="1">IFERROR(__xludf.DUMMYFUNCTION("""COMPUTED_VALUE"""),"Theology")</f>
        <v>Theology</v>
      </c>
      <c r="G344" s="12"/>
      <c r="H344" s="12"/>
      <c r="I344" s="12"/>
      <c r="J344" s="12"/>
      <c r="K344" s="13">
        <f ca="1">IFERROR(__xludf.DUMMYFUNCTION("""COMPUTED_VALUE"""),41804)</f>
        <v>41804</v>
      </c>
      <c r="L344" s="12"/>
      <c r="M344" s="12"/>
      <c r="N344" s="12" t="str">
        <f ca="1">IFERROR(__xludf.DUMMYFUNCTION("""COMPUTED_VALUE"""),"Table1")</f>
        <v>Table1</v>
      </c>
    </row>
    <row r="345" spans="1:14" ht="15.75" customHeight="1" x14ac:dyDescent="0.35">
      <c r="A345" s="12" t="str">
        <f ca="1">IFERROR(__xludf.DUMMYFUNCTION("""COMPUTED_VALUE"""),"Jones, Mark")</f>
        <v>Jones, Mark</v>
      </c>
      <c r="B345" s="12" t="str">
        <f ca="1">IFERROR(__xludf.DUMMYFUNCTION("""COMPUTED_VALUE""")," Mark Jones")</f>
        <v xml:space="preserve"> Mark Jones</v>
      </c>
      <c r="C345" s="12" t="str">
        <f ca="1">IFERROR(__xludf.DUMMYFUNCTION("""COMPUTED_VALUE"""),"God Is: A Devotional Guide to the Attributes of God")</f>
        <v>God Is: A Devotional Guide to the Attributes of God</v>
      </c>
      <c r="D345" s="12"/>
      <c r="E345" s="12" t="str">
        <f ca="1">IFERROR(__xludf.DUMMYFUNCTION("""COMPUTED_VALUE"""),"Book")</f>
        <v>Book</v>
      </c>
      <c r="F345" s="12" t="str">
        <f ca="1">IFERROR(__xludf.DUMMYFUNCTION("""COMPUTED_VALUE"""),"Theology")</f>
        <v>Theology</v>
      </c>
      <c r="G345" s="12"/>
      <c r="H345" s="12" t="str">
        <f ca="1">IFERROR(__xludf.DUMMYFUNCTION("""COMPUTED_VALUE"""),"Devotionals")</f>
        <v>Devotionals</v>
      </c>
      <c r="I345" s="12"/>
      <c r="J345" s="12"/>
      <c r="K345" s="13">
        <f ca="1">IFERROR(__xludf.DUMMYFUNCTION("""COMPUTED_VALUE"""),42966)</f>
        <v>42966</v>
      </c>
      <c r="L345" s="12"/>
      <c r="M345" s="12"/>
      <c r="N345" s="12" t="str">
        <f ca="1">IFERROR(__xludf.DUMMYFUNCTION("""COMPUTED_VALUE"""),"Table1")</f>
        <v>Table1</v>
      </c>
    </row>
    <row r="346" spans="1:14" ht="15.75" customHeight="1" x14ac:dyDescent="0.35">
      <c r="A346" s="12" t="str">
        <f ca="1">IFERROR(__xludf.DUMMYFUNCTION("""COMPUTED_VALUE"""),"Jones, Mark")</f>
        <v>Jones, Mark</v>
      </c>
      <c r="B346" s="12" t="str">
        <f ca="1">IFERROR(__xludf.DUMMYFUNCTION("""COMPUTED_VALUE""")," Mark Jones")</f>
        <v xml:space="preserve"> Mark Jones</v>
      </c>
      <c r="C346" s="12" t="str">
        <f ca="1">IFERROR(__xludf.DUMMYFUNCTION("""COMPUTED_VALUE"""),"Knowing Christ")</f>
        <v>Knowing Christ</v>
      </c>
      <c r="D346" s="12"/>
      <c r="E346" s="12" t="str">
        <f ca="1">IFERROR(__xludf.DUMMYFUNCTION("""COMPUTED_VALUE"""),"Book")</f>
        <v>Book</v>
      </c>
      <c r="F346" s="12" t="str">
        <f ca="1">IFERROR(__xludf.DUMMYFUNCTION("""COMPUTED_VALUE"""),"Theology")</f>
        <v>Theology</v>
      </c>
      <c r="G346" s="12"/>
      <c r="H346" s="12"/>
      <c r="I346" s="12"/>
      <c r="J346" s="12"/>
      <c r="K346" s="13">
        <f ca="1">IFERROR(__xludf.DUMMYFUNCTION("""COMPUTED_VALUE"""),42353)</f>
        <v>42353</v>
      </c>
      <c r="L346" s="12"/>
      <c r="M346" s="12"/>
      <c r="N346" s="12" t="str">
        <f ca="1">IFERROR(__xludf.DUMMYFUNCTION("""COMPUTED_VALUE"""),"Table1")</f>
        <v>Table1</v>
      </c>
    </row>
    <row r="347" spans="1:14" ht="15.75" customHeight="1" x14ac:dyDescent="0.35">
      <c r="A347" s="12" t="str">
        <f ca="1">IFERROR(__xludf.DUMMYFUNCTION("""COMPUTED_VALUE"""),"Jones, Mark")</f>
        <v>Jones, Mark</v>
      </c>
      <c r="B347" s="12" t="str">
        <f ca="1">IFERROR(__xludf.DUMMYFUNCTION("""COMPUTED_VALUE""")," Mark Jones")</f>
        <v xml:space="preserve"> Mark Jones</v>
      </c>
      <c r="C347" s="12" t="str">
        <f ca="1">IFERROR(__xludf.DUMMYFUNCTION("""COMPUTED_VALUE"""),"Knowing Sin: Seeing a Neglected Doctrine Through the Eyes of the Puritans")</f>
        <v>Knowing Sin: Seeing a Neglected Doctrine Through the Eyes of the Puritans</v>
      </c>
      <c r="D347" s="12"/>
      <c r="E347" s="12" t="str">
        <f ca="1">IFERROR(__xludf.DUMMYFUNCTION("""COMPUTED_VALUE"""),"Book")</f>
        <v>Book</v>
      </c>
      <c r="F347" s="12" t="str">
        <f ca="1">IFERROR(__xludf.DUMMYFUNCTION("""COMPUTED_VALUE"""),"Theology")</f>
        <v>Theology</v>
      </c>
      <c r="G347" s="12"/>
      <c r="H347" s="12" t="str">
        <f ca="1">IFERROR(__xludf.DUMMYFUNCTION("""COMPUTED_VALUE"""),"Puritans")</f>
        <v>Puritans</v>
      </c>
      <c r="I347" s="12"/>
      <c r="J347" s="12" t="str">
        <f ca="1">IFERROR(__xludf.DUMMYFUNCTION("""COMPUTED_VALUE"""),"Sin")</f>
        <v>Sin</v>
      </c>
      <c r="K347" s="13">
        <f ca="1">IFERROR(__xludf.DUMMYFUNCTION("""COMPUTED_VALUE"""),44772)</f>
        <v>44772</v>
      </c>
      <c r="L347" s="12"/>
      <c r="M347" s="12"/>
      <c r="N347" s="12" t="str">
        <f ca="1">IFERROR(__xludf.DUMMYFUNCTION("""COMPUTED_VALUE"""),"Table1")</f>
        <v>Table1</v>
      </c>
    </row>
    <row r="348" spans="1:14" ht="15.75" customHeight="1" x14ac:dyDescent="0.35">
      <c r="A348" s="12" t="str">
        <f ca="1">IFERROR(__xludf.DUMMYFUNCTION("""COMPUTED_VALUE"""),"Jones, Rachel")</f>
        <v>Jones, Rachel</v>
      </c>
      <c r="B348" s="12" t="str">
        <f ca="1">IFERROR(__xludf.DUMMYFUNCTION("""COMPUTED_VALUE""")," Rachel Jones")</f>
        <v xml:space="preserve"> Rachel Jones</v>
      </c>
      <c r="C348" s="12" t="str">
        <f ca="1">IFERROR(__xludf.DUMMYFUNCTION("""COMPUTED_VALUE"""),"Is This It?  The Difference Jesus Makes to That Feeling")</f>
        <v>Is This It?  The Difference Jesus Makes to That Feeling</v>
      </c>
      <c r="D348" s="12"/>
      <c r="E348" s="12" t="str">
        <f ca="1">IFERROR(__xludf.DUMMYFUNCTION("""COMPUTED_VALUE"""),"Book")</f>
        <v>Book</v>
      </c>
      <c r="F348" s="12" t="str">
        <f ca="1">IFERROR(__xludf.DUMMYFUNCTION("""COMPUTED_VALUE"""),"Understanding Mankind")</f>
        <v>Understanding Mankind</v>
      </c>
      <c r="G348" s="12"/>
      <c r="H348" s="12"/>
      <c r="I348" s="12"/>
      <c r="J348" s="12" t="str">
        <f ca="1">IFERROR(__xludf.DUMMYFUNCTION("""COMPUTED_VALUE"""),"Young Adults")</f>
        <v>Young Adults</v>
      </c>
      <c r="K348" s="13">
        <f ca="1">IFERROR(__xludf.DUMMYFUNCTION("""COMPUTED_VALUE"""),44044)</f>
        <v>44044</v>
      </c>
      <c r="L348" s="12"/>
      <c r="M348" s="12"/>
      <c r="N348" s="12" t="str">
        <f ca="1">IFERROR(__xludf.DUMMYFUNCTION("""COMPUTED_VALUE"""),"Table1")</f>
        <v>Table1</v>
      </c>
    </row>
    <row r="349" spans="1:14" ht="15.75" customHeight="1" x14ac:dyDescent="0.35">
      <c r="A349" s="12" t="str">
        <f ca="1">IFERROR(__xludf.DUMMYFUNCTION("""COMPUTED_VALUE"""),"Jones, Robert D.")</f>
        <v>Jones, Robert D.</v>
      </c>
      <c r="B349" s="12" t="str">
        <f ca="1">IFERROR(__xludf.DUMMYFUNCTION("""COMPUTED_VALUE""")," Robert D. Jones")</f>
        <v xml:space="preserve"> Robert D. Jones</v>
      </c>
      <c r="C349" s="12" t="str">
        <f ca="1">IFERROR(__xludf.DUMMYFUNCTION("""COMPUTED_VALUE"""),"Uprooting Anger")</f>
        <v>Uprooting Anger</v>
      </c>
      <c r="D349" s="12"/>
      <c r="E349" s="12" t="str">
        <f ca="1">IFERROR(__xludf.DUMMYFUNCTION("""COMPUTED_VALUE"""),"Book")</f>
        <v>Book</v>
      </c>
      <c r="F349" s="12" t="str">
        <f ca="1">IFERROR(__xludf.DUMMYFUNCTION("""COMPUTED_VALUE"""),"Understanding Mankind")</f>
        <v>Understanding Mankind</v>
      </c>
      <c r="G349" s="12"/>
      <c r="H349" s="12"/>
      <c r="I349" s="12"/>
      <c r="J349" s="12" t="str">
        <f ca="1">IFERROR(__xludf.DUMMYFUNCTION("""COMPUTED_VALUE"""),"Anger")</f>
        <v>Anger</v>
      </c>
      <c r="K349" s="13">
        <f ca="1">IFERROR(__xludf.DUMMYFUNCTION("""COMPUTED_VALUE"""),40247)</f>
        <v>40247</v>
      </c>
      <c r="L349" s="12"/>
      <c r="M349" s="12"/>
      <c r="N349" s="12" t="str">
        <f ca="1">IFERROR(__xludf.DUMMYFUNCTION("""COMPUTED_VALUE"""),"Table1")</f>
        <v>Table1</v>
      </c>
    </row>
    <row r="350" spans="1:14" ht="15.75" customHeight="1" x14ac:dyDescent="0.35">
      <c r="A350" s="12" t="str">
        <f ca="1">IFERROR(__xludf.DUMMYFUNCTION("""COMPUTED_VALUE"""),"Kapic, Kelly M")</f>
        <v>Kapic, Kelly M</v>
      </c>
      <c r="B350" s="12" t="str">
        <f ca="1">IFERROR(__xludf.DUMMYFUNCTION("""COMPUTED_VALUE""")," Kelly M Kapic")</f>
        <v xml:space="preserve"> Kelly M Kapic</v>
      </c>
      <c r="C350" s="12" t="str">
        <f ca="1">IFERROR(__xludf.DUMMYFUNCTION("""COMPUTED_VALUE"""),"A Little Book for New Theologians")</f>
        <v>A Little Book for New Theologians</v>
      </c>
      <c r="D350" s="12"/>
      <c r="E350" s="12" t="str">
        <f ca="1">IFERROR(__xludf.DUMMYFUNCTION("""COMPUTED_VALUE"""),"Book")</f>
        <v>Book</v>
      </c>
      <c r="F350" s="12" t="str">
        <f ca="1">IFERROR(__xludf.DUMMYFUNCTION("""COMPUTED_VALUE"""),"Theology")</f>
        <v>Theology</v>
      </c>
      <c r="G350" s="12"/>
      <c r="H350" s="12"/>
      <c r="I350" s="12"/>
      <c r="J350" s="12"/>
      <c r="K350" s="13">
        <f ca="1">IFERROR(__xludf.DUMMYFUNCTION("""COMPUTED_VALUE"""),41287)</f>
        <v>41287</v>
      </c>
      <c r="L350" s="12"/>
      <c r="M350" s="12"/>
      <c r="N350" s="12" t="str">
        <f ca="1">IFERROR(__xludf.DUMMYFUNCTION("""COMPUTED_VALUE"""),"Table1")</f>
        <v>Table1</v>
      </c>
    </row>
    <row r="351" spans="1:14" ht="15.75" customHeight="1" x14ac:dyDescent="0.35">
      <c r="A351" s="12" t="str">
        <f ca="1">IFERROR(__xludf.DUMMYFUNCTION("""COMPUTED_VALUE"""),"Keddie, John W.")</f>
        <v>Keddie, John W.</v>
      </c>
      <c r="B351" s="12" t="str">
        <f ca="1">IFERROR(__xludf.DUMMYFUNCTION("""COMPUTED_VALUE""")," John W. Keddie")</f>
        <v xml:space="preserve"> John W. Keddie</v>
      </c>
      <c r="C351" s="12" t="str">
        <f ca="1">IFERROR(__xludf.DUMMYFUNCTION("""COMPUTED_VALUE"""),"Running the Race: Eric Liddell")</f>
        <v>Running the Race: Eric Liddell</v>
      </c>
      <c r="D351" s="12"/>
      <c r="E351" s="12" t="str">
        <f ca="1">IFERROR(__xludf.DUMMYFUNCTION("""COMPUTED_VALUE"""),"Book")</f>
        <v>Book</v>
      </c>
      <c r="F351" s="12" t="str">
        <f ca="1">IFERROR(__xludf.DUMMYFUNCTION("""COMPUTED_VALUE"""),"Biography")</f>
        <v>Biography</v>
      </c>
      <c r="G351" s="12"/>
      <c r="H351" s="12"/>
      <c r="I351" s="12"/>
      <c r="J351" s="12" t="str">
        <f ca="1">IFERROR(__xludf.DUMMYFUNCTION("""COMPUTED_VALUE"""),"Athletics")</f>
        <v>Athletics</v>
      </c>
      <c r="K351" s="13"/>
      <c r="L351" s="12"/>
      <c r="M351" s="12"/>
      <c r="N351" s="12" t="str">
        <f ca="1">IFERROR(__xludf.DUMMYFUNCTION("""COMPUTED_VALUE"""),"Table1")</f>
        <v>Table1</v>
      </c>
    </row>
    <row r="352" spans="1:14" ht="15.75" customHeight="1" x14ac:dyDescent="0.35">
      <c r="A352" s="12" t="str">
        <f ca="1">IFERROR(__xludf.DUMMYFUNCTION("""COMPUTED_VALUE"""),"Kelleman, Bob")</f>
        <v>Kelleman, Bob</v>
      </c>
      <c r="B352" s="12" t="str">
        <f ca="1">IFERROR(__xludf.DUMMYFUNCTION("""COMPUTED_VALUE""")," Bob Kelleman")</f>
        <v xml:space="preserve"> Bob Kelleman</v>
      </c>
      <c r="C352" s="12" t="str">
        <f ca="1">IFERROR(__xludf.DUMMYFUNCTION("""COMPUTED_VALUE"""),"Grief: Walking with Jesus")</f>
        <v>Grief: Walking with Jesus</v>
      </c>
      <c r="D352" s="12"/>
      <c r="E352" s="12" t="str">
        <f ca="1">IFERROR(__xludf.DUMMYFUNCTION("""COMPUTED_VALUE"""),"Book")</f>
        <v>Book</v>
      </c>
      <c r="F352" s="12" t="str">
        <f ca="1">IFERROR(__xludf.DUMMYFUNCTION("""COMPUTED_VALUE"""),"Understanding Mankind")</f>
        <v>Understanding Mankind</v>
      </c>
      <c r="G352" s="12"/>
      <c r="H352" s="12" t="str">
        <f ca="1">IFERROR(__xludf.DUMMYFUNCTION("""COMPUTED_VALUE"""),"Devotionals")</f>
        <v>Devotionals</v>
      </c>
      <c r="I352" s="12"/>
      <c r="J352" s="12" t="str">
        <f ca="1">IFERROR(__xludf.DUMMYFUNCTION("""COMPUTED_VALUE"""),"Grief")</f>
        <v>Grief</v>
      </c>
      <c r="K352" s="13"/>
      <c r="L352" s="12"/>
      <c r="M352" s="12"/>
      <c r="N352" s="12" t="str">
        <f ca="1">IFERROR(__xludf.DUMMYFUNCTION("""COMPUTED_VALUE"""),"Table1")</f>
        <v>Table1</v>
      </c>
    </row>
    <row r="353" spans="1:14" ht="15.75" customHeight="1" x14ac:dyDescent="0.35">
      <c r="A353" s="12" t="str">
        <f ca="1">IFERROR(__xludf.DUMMYFUNCTION("""COMPUTED_VALUE"""),"Kelleman, Bob")</f>
        <v>Kelleman, Bob</v>
      </c>
      <c r="B353" s="12" t="str">
        <f ca="1">IFERROR(__xludf.DUMMYFUNCTION("""COMPUTED_VALUE""")," Bob Kelleman")</f>
        <v xml:space="preserve"> Bob Kelleman</v>
      </c>
      <c r="C353" s="12" t="str">
        <f ca="1">IFERROR(__xludf.DUMMYFUNCTION("""COMPUTED_VALUE"""),"Grief: Walking with Jesus")</f>
        <v>Grief: Walking with Jesus</v>
      </c>
      <c r="D353" s="12"/>
      <c r="E353" s="12" t="str">
        <f ca="1">IFERROR(__xludf.DUMMYFUNCTION("""COMPUTED_VALUE"""),"Book")</f>
        <v>Book</v>
      </c>
      <c r="F353" s="12" t="str">
        <f ca="1">IFERROR(__xludf.DUMMYFUNCTION("""COMPUTED_VALUE"""),"Understanding Mankind")</f>
        <v>Understanding Mankind</v>
      </c>
      <c r="G353" s="12"/>
      <c r="H353" s="12"/>
      <c r="I353" s="12"/>
      <c r="J353" s="12" t="str">
        <f ca="1">IFERROR(__xludf.DUMMYFUNCTION("""COMPUTED_VALUE"""),"Suffering, Grief")</f>
        <v>Suffering, Grief</v>
      </c>
      <c r="K353" s="13"/>
      <c r="L353" s="12"/>
      <c r="M353" s="12"/>
      <c r="N353" s="12" t="str">
        <f ca="1">IFERROR(__xludf.DUMMYFUNCTION("""COMPUTED_VALUE"""),"Table1")</f>
        <v>Table1</v>
      </c>
    </row>
    <row r="354" spans="1:14" ht="15.75" customHeight="1" x14ac:dyDescent="0.35">
      <c r="A354" s="12" t="str">
        <f ca="1">IFERROR(__xludf.DUMMYFUNCTION("""COMPUTED_VALUE"""),"Kellemen, Bob")</f>
        <v>Kellemen, Bob</v>
      </c>
      <c r="B354" s="12" t="str">
        <f ca="1">IFERROR(__xludf.DUMMYFUNCTION("""COMPUTED_VALUE""")," Bob Kellemen")</f>
        <v xml:space="preserve"> Bob Kellemen</v>
      </c>
      <c r="C354" s="12" t="str">
        <f ca="1">IFERROR(__xludf.DUMMYFUNCTION("""COMPUTED_VALUE"""),"Consider Your Counsel: Addressing Ten Mistakes in Our Biblical Counseling")</f>
        <v>Consider Your Counsel: Addressing Ten Mistakes in Our Biblical Counseling</v>
      </c>
      <c r="D354" s="12"/>
      <c r="E354" s="12" t="str">
        <f ca="1">IFERROR(__xludf.DUMMYFUNCTION("""COMPUTED_VALUE"""),"Book")</f>
        <v>Book</v>
      </c>
      <c r="F354" s="12" t="str">
        <f ca="1">IFERROR(__xludf.DUMMYFUNCTION("""COMPUTED_VALUE"""),"Understanding Mankind")</f>
        <v>Understanding Mankind</v>
      </c>
      <c r="G354" s="12"/>
      <c r="H354" s="12"/>
      <c r="I354" s="12" t="str">
        <f ca="1">IFERROR(__xludf.DUMMYFUNCTION("""COMPUTED_VALUE"""),"Counseling")</f>
        <v>Counseling</v>
      </c>
      <c r="J354" s="12" t="str">
        <f ca="1">IFERROR(__xludf.DUMMYFUNCTION("""COMPUTED_VALUE"""),"Counseling")</f>
        <v>Counseling</v>
      </c>
      <c r="K354" s="13">
        <f ca="1">IFERROR(__xludf.DUMMYFUNCTION("""COMPUTED_VALUE"""),44534)</f>
        <v>44534</v>
      </c>
      <c r="L354" s="12"/>
      <c r="M354" s="12"/>
      <c r="N354" s="12" t="str">
        <f ca="1">IFERROR(__xludf.DUMMYFUNCTION("""COMPUTED_VALUE"""),"Table1")</f>
        <v>Table1</v>
      </c>
    </row>
    <row r="355" spans="1:14" ht="15.75" customHeight="1" x14ac:dyDescent="0.35">
      <c r="A355" s="12" t="str">
        <f ca="1">IFERROR(__xludf.DUMMYFUNCTION("""COMPUTED_VALUE"""),"Kellemen, Bob")</f>
        <v>Kellemen, Bob</v>
      </c>
      <c r="B355" s="12" t="str">
        <f ca="1">IFERROR(__xludf.DUMMYFUNCTION("""COMPUTED_VALUE""")," Bob Kellemen")</f>
        <v xml:space="preserve"> Bob Kellemen</v>
      </c>
      <c r="C355" s="12" t="str">
        <f ca="1">IFERROR(__xludf.DUMMYFUNCTION("""COMPUTED_VALUE"""),"Counseling Under the Cross: How Martin Luther Applied the Gospel to Daily Life")</f>
        <v>Counseling Under the Cross: How Martin Luther Applied the Gospel to Daily Life</v>
      </c>
      <c r="D355" s="12"/>
      <c r="E355" s="12" t="str">
        <f ca="1">IFERROR(__xludf.DUMMYFUNCTION("""COMPUTED_VALUE"""),"Book")</f>
        <v>Book</v>
      </c>
      <c r="F355" s="12" t="str">
        <f ca="1">IFERROR(__xludf.DUMMYFUNCTION("""COMPUTED_VALUE"""),"Discipleship")</f>
        <v>Discipleship</v>
      </c>
      <c r="G355" s="12"/>
      <c r="H355" s="12"/>
      <c r="I355" s="12"/>
      <c r="J355" s="12" t="str">
        <f ca="1">IFERROR(__xludf.DUMMYFUNCTION("""COMPUTED_VALUE"""),"Gospel")</f>
        <v>Gospel</v>
      </c>
      <c r="K355" s="13">
        <f ca="1">IFERROR(__xludf.DUMMYFUNCTION("""COMPUTED_VALUE"""),43872)</f>
        <v>43872</v>
      </c>
      <c r="L355" s="12"/>
      <c r="M355" s="12"/>
      <c r="N355" s="12" t="str">
        <f ca="1">IFERROR(__xludf.DUMMYFUNCTION("""COMPUTED_VALUE"""),"Table1")</f>
        <v>Table1</v>
      </c>
    </row>
    <row r="356" spans="1:14" ht="15.75" customHeight="1" x14ac:dyDescent="0.35">
      <c r="A356" s="12" t="str">
        <f ca="1">IFERROR(__xludf.DUMMYFUNCTION("""COMPUTED_VALUE"""),"Kellemen, Robert W.")</f>
        <v>Kellemen, Robert W.</v>
      </c>
      <c r="B356" s="12" t="str">
        <f ca="1">IFERROR(__xludf.DUMMYFUNCTION("""COMPUTED_VALUE""")," Robert W. Kellemen")</f>
        <v xml:space="preserve"> Robert W. Kellemen</v>
      </c>
      <c r="C356" s="12" t="str">
        <f ca="1">IFERROR(__xludf.DUMMYFUNCTION("""COMPUTED_VALUE"""),"Anxiety")</f>
        <v>Anxiety</v>
      </c>
      <c r="D356" s="12" t="str">
        <f ca="1">IFERROR(__xludf.DUMMYFUNCTION("""COMPUTED_VALUE"""),"3 copies")</f>
        <v>3 copies</v>
      </c>
      <c r="E356" s="12" t="str">
        <f ca="1">IFERROR(__xludf.DUMMYFUNCTION("""COMPUTED_VALUE"""),"Book")</f>
        <v>Book</v>
      </c>
      <c r="F356" s="12" t="str">
        <f ca="1">IFERROR(__xludf.DUMMYFUNCTION("""COMPUTED_VALUE"""),"Understanding Mankind")</f>
        <v>Understanding Mankind</v>
      </c>
      <c r="G356" s="12"/>
      <c r="H356" s="12"/>
      <c r="I356" s="12"/>
      <c r="J356" s="12" t="str">
        <f ca="1">IFERROR(__xludf.DUMMYFUNCTION("""COMPUTED_VALUE"""),"Anxiety")</f>
        <v>Anxiety</v>
      </c>
      <c r="K356" s="13">
        <f ca="1">IFERROR(__xludf.DUMMYFUNCTION("""COMPUTED_VALUE"""),42139)</f>
        <v>42139</v>
      </c>
      <c r="L356" s="12"/>
      <c r="M356" s="12"/>
      <c r="N356" s="12" t="str">
        <f ca="1">IFERROR(__xludf.DUMMYFUNCTION("""COMPUTED_VALUE"""),"Table1")</f>
        <v>Table1</v>
      </c>
    </row>
    <row r="357" spans="1:14" ht="15.75" customHeight="1" x14ac:dyDescent="0.35">
      <c r="A357" s="12" t="str">
        <f ca="1">IFERROR(__xludf.DUMMYFUNCTION("""COMPUTED_VALUE"""),"Keller, Kathy")</f>
        <v>Keller, Kathy</v>
      </c>
      <c r="B357" s="12" t="str">
        <f ca="1">IFERROR(__xludf.DUMMYFUNCTION("""COMPUTED_VALUE""")," Kathy Keller")</f>
        <v xml:space="preserve"> Kathy Keller</v>
      </c>
      <c r="C357" s="12" t="str">
        <f ca="1">IFERROR(__xludf.DUMMYFUNCTION("""COMPUTED_VALUE"""),"The New City Catechism")</f>
        <v>The New City Catechism</v>
      </c>
      <c r="D357" s="12"/>
      <c r="E357" s="12" t="str">
        <f ca="1">IFERROR(__xludf.DUMMYFUNCTION("""COMPUTED_VALUE"""),"Book")</f>
        <v>Book</v>
      </c>
      <c r="F357" s="12" t="str">
        <f ca="1">IFERROR(__xludf.DUMMYFUNCTION("""COMPUTED_VALUE"""),"Children")</f>
        <v>Children</v>
      </c>
      <c r="G357" s="12"/>
      <c r="H357" s="12"/>
      <c r="I357" s="12"/>
      <c r="J357" s="12"/>
      <c r="K357" s="13"/>
      <c r="L357" s="12"/>
      <c r="M357" s="12"/>
      <c r="N357" s="12" t="str">
        <f ca="1">IFERROR(__xludf.DUMMYFUNCTION("""COMPUTED_VALUE"""),"Table1")</f>
        <v>Table1</v>
      </c>
    </row>
    <row r="358" spans="1:14" ht="15.75" customHeight="1" x14ac:dyDescent="0.35">
      <c r="A358" s="12" t="str">
        <f ca="1">IFERROR(__xludf.DUMMYFUNCTION("""COMPUTED_VALUE"""),"Keller, Timothy")</f>
        <v>Keller, Timothy</v>
      </c>
      <c r="B358" s="12" t="str">
        <f ca="1">IFERROR(__xludf.DUMMYFUNCTION("""COMPUTED_VALUE""")," Timothy Keller")</f>
        <v xml:space="preserve"> Timothy Keller</v>
      </c>
      <c r="C358" s="12" t="str">
        <f ca="1">IFERROR(__xludf.DUMMYFUNCTION("""COMPUTED_VALUE"""),"Counterfeit Gods: The Empty Promises of Money, Sex, and Power, and the Only Hope that Matters")</f>
        <v>Counterfeit Gods: The Empty Promises of Money, Sex, and Power, and the Only Hope that Matters</v>
      </c>
      <c r="D358" s="12"/>
      <c r="E358" s="12" t="str">
        <f ca="1">IFERROR(__xludf.DUMMYFUNCTION("""COMPUTED_VALUE"""),"Book")</f>
        <v>Book</v>
      </c>
      <c r="F358" s="12" t="str">
        <f ca="1">IFERROR(__xludf.DUMMYFUNCTION("""COMPUTED_VALUE"""),"Worldview")</f>
        <v>Worldview</v>
      </c>
      <c r="G358" s="12"/>
      <c r="H358" s="12"/>
      <c r="I358" s="12"/>
      <c r="J358" s="12" t="str">
        <f ca="1">IFERROR(__xludf.DUMMYFUNCTION("""COMPUTED_VALUE"""),"Idolatry, Sexuality, Finances")</f>
        <v>Idolatry, Sexuality, Finances</v>
      </c>
      <c r="K358" s="13">
        <f ca="1">IFERROR(__xludf.DUMMYFUNCTION("""COMPUTED_VALUE"""),40238)</f>
        <v>40238</v>
      </c>
      <c r="L358" s="12"/>
      <c r="M358" s="12"/>
      <c r="N358" s="12" t="str">
        <f ca="1">IFERROR(__xludf.DUMMYFUNCTION("""COMPUTED_VALUE"""),"Table1")</f>
        <v>Table1</v>
      </c>
    </row>
    <row r="359" spans="1:14" ht="15.75" customHeight="1" x14ac:dyDescent="0.35">
      <c r="A359" s="12" t="str">
        <f ca="1">IFERROR(__xludf.DUMMYFUNCTION("""COMPUTED_VALUE"""),"Keller, Timothy")</f>
        <v>Keller, Timothy</v>
      </c>
      <c r="B359" s="12" t="str">
        <f ca="1">IFERROR(__xludf.DUMMYFUNCTION("""COMPUTED_VALUE""")," Timothy Keller")</f>
        <v xml:space="preserve"> Timothy Keller</v>
      </c>
      <c r="C359" s="12" t="str">
        <f ca="1">IFERROR(__xludf.DUMMYFUNCTION("""COMPUTED_VALUE"""),"Generous Justice")</f>
        <v>Generous Justice</v>
      </c>
      <c r="D359" s="12"/>
      <c r="E359" s="12" t="str">
        <f ca="1">IFERROR(__xludf.DUMMYFUNCTION("""COMPUTED_VALUE"""),"Book")</f>
        <v>Book</v>
      </c>
      <c r="F359" s="12" t="str">
        <f ca="1">IFERROR(__xludf.DUMMYFUNCTION("""COMPUTED_VALUE"""),"Discipleship")</f>
        <v>Discipleship</v>
      </c>
      <c r="G359" s="12"/>
      <c r="H359" s="12"/>
      <c r="I359" s="12"/>
      <c r="J359" s="12"/>
      <c r="K359" s="13">
        <f ca="1">IFERROR(__xludf.DUMMYFUNCTION("""COMPUTED_VALUE"""),41499)</f>
        <v>41499</v>
      </c>
      <c r="L359" s="12"/>
      <c r="M359" s="12"/>
      <c r="N359" s="12" t="str">
        <f ca="1">IFERROR(__xludf.DUMMYFUNCTION("""COMPUTED_VALUE"""),"Table1")</f>
        <v>Table1</v>
      </c>
    </row>
    <row r="360" spans="1:14" ht="15.75" customHeight="1" x14ac:dyDescent="0.35">
      <c r="A360" s="12" t="str">
        <f ca="1">IFERROR(__xludf.DUMMYFUNCTION("""COMPUTED_VALUE"""),"Keller, Timothy")</f>
        <v>Keller, Timothy</v>
      </c>
      <c r="B360" s="12" t="str">
        <f ca="1">IFERROR(__xludf.DUMMYFUNCTION("""COMPUTED_VALUE""")," Timothy Keller")</f>
        <v xml:space="preserve"> Timothy Keller</v>
      </c>
      <c r="C360" s="12" t="str">
        <f ca="1">IFERROR(__xludf.DUMMYFUNCTION("""COMPUTED_VALUE"""),"The Meaning of Marriage")</f>
        <v>The Meaning of Marriage</v>
      </c>
      <c r="D360" s="12"/>
      <c r="E360" s="12" t="str">
        <f ca="1">IFERROR(__xludf.DUMMYFUNCTION("""COMPUTED_VALUE"""),"Book")</f>
        <v>Book</v>
      </c>
      <c r="F360" s="12" t="str">
        <f ca="1">IFERROR(__xludf.DUMMYFUNCTION("""COMPUTED_VALUE"""),"Understanding Mankind")</f>
        <v>Understanding Mankind</v>
      </c>
      <c r="G360" s="12"/>
      <c r="H360" s="12"/>
      <c r="I360" s="12"/>
      <c r="J360" s="12" t="str">
        <f ca="1">IFERROR(__xludf.DUMMYFUNCTION("""COMPUTED_VALUE"""),"Marriage")</f>
        <v>Marriage</v>
      </c>
      <c r="K360" s="13">
        <f ca="1">IFERROR(__xludf.DUMMYFUNCTION("""COMPUTED_VALUE"""),41133)</f>
        <v>41133</v>
      </c>
      <c r="L360" s="12"/>
      <c r="M360" s="12"/>
      <c r="N360" s="12" t="str">
        <f ca="1">IFERROR(__xludf.DUMMYFUNCTION("""COMPUTED_VALUE"""),"Table1")</f>
        <v>Table1</v>
      </c>
    </row>
    <row r="361" spans="1:14" ht="15.75" customHeight="1" x14ac:dyDescent="0.35">
      <c r="A361" s="12" t="str">
        <f ca="1">IFERROR(__xludf.DUMMYFUNCTION("""COMPUTED_VALUE"""),"Keller, Timothy")</f>
        <v>Keller, Timothy</v>
      </c>
      <c r="B361" s="12" t="str">
        <f ca="1">IFERROR(__xludf.DUMMYFUNCTION("""COMPUTED_VALUE""")," Timothy Keller")</f>
        <v xml:space="preserve"> Timothy Keller</v>
      </c>
      <c r="C361" s="12" t="str">
        <f ca="1">IFERROR(__xludf.DUMMYFUNCTION("""COMPUTED_VALUE"""),"Ministries of Mercy: The Call of the Jericho Road")</f>
        <v>Ministries of Mercy: The Call of the Jericho Road</v>
      </c>
      <c r="D361" s="12"/>
      <c r="E361" s="12" t="str">
        <f ca="1">IFERROR(__xludf.DUMMYFUNCTION("""COMPUTED_VALUE"""),"Book")</f>
        <v>Book</v>
      </c>
      <c r="F361" s="12" t="str">
        <f ca="1">IFERROR(__xludf.DUMMYFUNCTION("""COMPUTED_VALUE"""),"Discipleship")</f>
        <v>Discipleship</v>
      </c>
      <c r="G361" s="12"/>
      <c r="H361" s="12"/>
      <c r="I361" s="12"/>
      <c r="J361" s="12"/>
      <c r="K361" s="13">
        <f ca="1">IFERROR(__xludf.DUMMYFUNCTION("""COMPUTED_VALUE"""),43160)</f>
        <v>43160</v>
      </c>
      <c r="L361" s="12"/>
      <c r="M361" s="12"/>
      <c r="N361" s="12" t="str">
        <f ca="1">IFERROR(__xludf.DUMMYFUNCTION("""COMPUTED_VALUE"""),"Table1")</f>
        <v>Table1</v>
      </c>
    </row>
    <row r="362" spans="1:14" ht="15.75" customHeight="1" x14ac:dyDescent="0.35">
      <c r="A362" s="12" t="str">
        <f ca="1">IFERROR(__xludf.DUMMYFUNCTION("""COMPUTED_VALUE"""),"Keller, Timothy")</f>
        <v>Keller, Timothy</v>
      </c>
      <c r="B362" s="12" t="str">
        <f ca="1">IFERROR(__xludf.DUMMYFUNCTION("""COMPUTED_VALUE""")," Timothy Keller")</f>
        <v xml:space="preserve"> Timothy Keller</v>
      </c>
      <c r="C362" s="12" t="str">
        <f ca="1">IFERROR(__xludf.DUMMYFUNCTION("""COMPUTED_VALUE"""),"The Prodigal God")</f>
        <v>The Prodigal God</v>
      </c>
      <c r="D362" s="12"/>
      <c r="E362" s="12" t="str">
        <f ca="1">IFERROR(__xludf.DUMMYFUNCTION("""COMPUTED_VALUE"""),"Book")</f>
        <v>Book</v>
      </c>
      <c r="F362" s="12" t="str">
        <f ca="1">IFERROR(__xludf.DUMMYFUNCTION("""COMPUTED_VALUE"""),"Discipleship")</f>
        <v>Discipleship</v>
      </c>
      <c r="G362" s="12"/>
      <c r="H362" s="12"/>
      <c r="I362" s="12"/>
      <c r="J362" s="12"/>
      <c r="K362" s="13">
        <f ca="1">IFERROR(__xludf.DUMMYFUNCTION("""COMPUTED_VALUE"""),40188)</f>
        <v>40188</v>
      </c>
      <c r="L362" s="12"/>
      <c r="M362" s="12"/>
      <c r="N362" s="12" t="str">
        <f ca="1">IFERROR(__xludf.DUMMYFUNCTION("""COMPUTED_VALUE"""),"Table1")</f>
        <v>Table1</v>
      </c>
    </row>
    <row r="363" spans="1:14" ht="15.75" customHeight="1" x14ac:dyDescent="0.35">
      <c r="A363" s="12" t="str">
        <f ca="1">IFERROR(__xludf.DUMMYFUNCTION("""COMPUTED_VALUE"""),"Keller, Timothy")</f>
        <v>Keller, Timothy</v>
      </c>
      <c r="B363" s="12" t="str">
        <f ca="1">IFERROR(__xludf.DUMMYFUNCTION("""COMPUTED_VALUE""")," Timothy Keller")</f>
        <v xml:space="preserve"> Timothy Keller</v>
      </c>
      <c r="C363" s="12" t="str">
        <f ca="1">IFERROR(__xludf.DUMMYFUNCTION("""COMPUTED_VALUE"""),"The Reason for God: Belief in an Age of Skepticism")</f>
        <v>The Reason for God: Belief in an Age of Skepticism</v>
      </c>
      <c r="D363" s="12"/>
      <c r="E363" s="12" t="str">
        <f ca="1">IFERROR(__xludf.DUMMYFUNCTION("""COMPUTED_VALUE"""),"Book")</f>
        <v>Book</v>
      </c>
      <c r="F363" s="12" t="str">
        <f ca="1">IFERROR(__xludf.DUMMYFUNCTION("""COMPUTED_VALUE"""),"Worldview")</f>
        <v>Worldview</v>
      </c>
      <c r="G363" s="12"/>
      <c r="H363" s="12"/>
      <c r="I363" s="12"/>
      <c r="J363" s="12" t="str">
        <f ca="1">IFERROR(__xludf.DUMMYFUNCTION("""COMPUTED_VALUE"""),"Apologetics")</f>
        <v>Apologetics</v>
      </c>
      <c r="K363" s="13">
        <f ca="1">IFERROR(__xludf.DUMMYFUNCTION("""COMPUTED_VALUE"""),41621)</f>
        <v>41621</v>
      </c>
      <c r="L363" s="12"/>
      <c r="M363" s="12"/>
      <c r="N363" s="12" t="str">
        <f ca="1">IFERROR(__xludf.DUMMYFUNCTION("""COMPUTED_VALUE"""),"Table1")</f>
        <v>Table1</v>
      </c>
    </row>
    <row r="364" spans="1:14" ht="15.75" customHeight="1" x14ac:dyDescent="0.35">
      <c r="A364" s="12" t="str">
        <f ca="1">IFERROR(__xludf.DUMMYFUNCTION("""COMPUTED_VALUE"""),"Kennedy, Jared")</f>
        <v>Kennedy, Jared</v>
      </c>
      <c r="B364" s="12" t="str">
        <f ca="1">IFERROR(__xludf.DUMMYFUNCTION("""COMPUTED_VALUE""")," Jared Kennedy")</f>
        <v xml:space="preserve"> Jared Kennedy</v>
      </c>
      <c r="C364" s="12" t="str">
        <f ca="1">IFERROR(__xludf.DUMMYFUNCTION("""COMPUTED_VALUE"""),"The Beginner's Gospel Story Bible")</f>
        <v>The Beginner's Gospel Story Bible</v>
      </c>
      <c r="D364" s="12"/>
      <c r="E364" s="12" t="str">
        <f ca="1">IFERROR(__xludf.DUMMYFUNCTION("""COMPUTED_VALUE"""),"Book")</f>
        <v>Book</v>
      </c>
      <c r="F364" s="12" t="str">
        <f ca="1">IFERROR(__xludf.DUMMYFUNCTION("""COMPUTED_VALUE"""),"Children")</f>
        <v>Children</v>
      </c>
      <c r="G364" s="12"/>
      <c r="H364" s="12"/>
      <c r="I364" s="12"/>
      <c r="J364" s="12"/>
      <c r="K364" s="13">
        <f ca="1">IFERROR(__xludf.DUMMYFUNCTION("""COMPUTED_VALUE"""),43040)</f>
        <v>43040</v>
      </c>
      <c r="L364" s="12"/>
      <c r="M364" s="12"/>
      <c r="N364" s="12" t="str">
        <f ca="1">IFERROR(__xludf.DUMMYFUNCTION("""COMPUTED_VALUE"""),"Table1")</f>
        <v>Table1</v>
      </c>
    </row>
    <row r="365" spans="1:14" ht="15.75" customHeight="1" x14ac:dyDescent="0.35">
      <c r="A365" s="12" t="str">
        <f ca="1">IFERROR(__xludf.DUMMYFUNCTION("""COMPUTED_VALUE"""),"Kidner, Derek")</f>
        <v>Kidner, Derek</v>
      </c>
      <c r="B365" s="12" t="str">
        <f ca="1">IFERROR(__xludf.DUMMYFUNCTION("""COMPUTED_VALUE""")," Derek Kidner")</f>
        <v xml:space="preserve"> Derek Kidner</v>
      </c>
      <c r="C365" s="12" t="str">
        <f ca="1">IFERROR(__xludf.DUMMYFUNCTION("""COMPUTED_VALUE"""),"The Message of Jeremiah")</f>
        <v>The Message of Jeremiah</v>
      </c>
      <c r="D365" s="12"/>
      <c r="E365" s="12" t="str">
        <f ca="1">IFERROR(__xludf.DUMMYFUNCTION("""COMPUTED_VALUE"""),"Book")</f>
        <v>Book</v>
      </c>
      <c r="F365" s="12" t="str">
        <f ca="1">IFERROR(__xludf.DUMMYFUNCTION("""COMPUTED_VALUE"""),"Bible")</f>
        <v>Bible</v>
      </c>
      <c r="G365" s="12"/>
      <c r="H365" s="12"/>
      <c r="I365" s="12"/>
      <c r="J365" s="12"/>
      <c r="K365" s="13">
        <f ca="1">IFERROR(__xludf.DUMMYFUNCTION("""COMPUTED_VALUE"""),40035)</f>
        <v>40035</v>
      </c>
      <c r="L365" s="12"/>
      <c r="M365" s="12"/>
      <c r="N365" s="12" t="str">
        <f ca="1">IFERROR(__xludf.DUMMYFUNCTION("""COMPUTED_VALUE"""),"Table1")</f>
        <v>Table1</v>
      </c>
    </row>
    <row r="366" spans="1:14" ht="15.75" customHeight="1" x14ac:dyDescent="0.35">
      <c r="A366" s="12" t="str">
        <f ca="1">IFERROR(__xludf.DUMMYFUNCTION("""COMPUTED_VALUE"""),"Klumpenhower, Jack")</f>
        <v>Klumpenhower, Jack</v>
      </c>
      <c r="B366" s="12" t="str">
        <f ca="1">IFERROR(__xludf.DUMMYFUNCTION("""COMPUTED_VALUE""")," Jack Klumpenhower")</f>
        <v xml:space="preserve"> Jack Klumpenhower</v>
      </c>
      <c r="C366" s="12" t="str">
        <f ca="1">IFERROR(__xludf.DUMMYFUNCTION("""COMPUTED_VALUE"""),"Show Them Jesus: Teaching the Gospel to Kids")</f>
        <v>Show Them Jesus: Teaching the Gospel to Kids</v>
      </c>
      <c r="D366" s="12"/>
      <c r="E366" s="12" t="str">
        <f ca="1">IFERROR(__xludf.DUMMYFUNCTION("""COMPUTED_VALUE"""),"Book")</f>
        <v>Book</v>
      </c>
      <c r="F366" s="12" t="str">
        <f ca="1">IFERROR(__xludf.DUMMYFUNCTION("""COMPUTED_VALUE"""),"Theology")</f>
        <v>Theology</v>
      </c>
      <c r="G366" s="12" t="str">
        <f ca="1">IFERROR(__xludf.DUMMYFUNCTION("""COMPUTED_VALUE"""),"Discipleship")</f>
        <v>Discipleship</v>
      </c>
      <c r="H366" s="12"/>
      <c r="I366" s="12"/>
      <c r="J366" s="12" t="str">
        <f ca="1">IFERROR(__xludf.DUMMYFUNCTION("""COMPUTED_VALUE"""),"Parenting, Teaching Children")</f>
        <v>Parenting, Teaching Children</v>
      </c>
      <c r="K366" s="13">
        <f ca="1">IFERROR(__xludf.DUMMYFUNCTION("""COMPUTED_VALUE"""),42231)</f>
        <v>42231</v>
      </c>
      <c r="L366" s="12"/>
      <c r="M366" s="12"/>
      <c r="N366" s="12" t="str">
        <f ca="1">IFERROR(__xludf.DUMMYFUNCTION("""COMPUTED_VALUE"""),"Table1")</f>
        <v>Table1</v>
      </c>
    </row>
    <row r="367" spans="1:14" ht="15.75" customHeight="1" x14ac:dyDescent="0.35">
      <c r="A367" s="12" t="str">
        <f ca="1">IFERROR(__xludf.DUMMYFUNCTION("""COMPUTED_VALUE"""),"Kosenberger, Andreas")</f>
        <v>Kosenberger, Andreas</v>
      </c>
      <c r="B367" s="12" t="str">
        <f ca="1">IFERROR(__xludf.DUMMYFUNCTION("""COMPUTED_VALUE""")," Andreas Kosenberger")</f>
        <v xml:space="preserve"> Andreas Kosenberger</v>
      </c>
      <c r="C367" s="12" t="str">
        <f ca="1">IFERROR(__xludf.DUMMYFUNCTION("""COMPUTED_VALUE"""),"The Final Days of Jesus")</f>
        <v>The Final Days of Jesus</v>
      </c>
      <c r="D367" s="12" t="str">
        <f ca="1">IFERROR(__xludf.DUMMYFUNCTION("""COMPUTED_VALUE"""),"Taylor")</f>
        <v>Taylor</v>
      </c>
      <c r="E367" s="12" t="str">
        <f ca="1">IFERROR(__xludf.DUMMYFUNCTION("""COMPUTED_VALUE"""),"Book")</f>
        <v>Book</v>
      </c>
      <c r="F367" s="12" t="str">
        <f ca="1">IFERROR(__xludf.DUMMYFUNCTION("""COMPUTED_VALUE"""),"Theology")</f>
        <v>Theology</v>
      </c>
      <c r="G367" s="12"/>
      <c r="H367" s="12"/>
      <c r="I367" s="12"/>
      <c r="J367" s="12"/>
      <c r="K367" s="13">
        <f ca="1">IFERROR(__xludf.DUMMYFUNCTION("""COMPUTED_VALUE"""),41804)</f>
        <v>41804</v>
      </c>
      <c r="L367" s="12"/>
      <c r="M367" s="12"/>
      <c r="N367" s="12" t="str">
        <f ca="1">IFERROR(__xludf.DUMMYFUNCTION("""COMPUTED_VALUE"""),"Table1")</f>
        <v>Table1</v>
      </c>
    </row>
    <row r="368" spans="1:14" ht="15.75" customHeight="1" x14ac:dyDescent="0.35">
      <c r="A368" s="12" t="str">
        <f ca="1">IFERROR(__xludf.DUMMYFUNCTION("""COMPUTED_VALUE"""),"Kostenberger, Andreas")</f>
        <v>Kostenberger, Andreas</v>
      </c>
      <c r="B368" s="12" t="str">
        <f ca="1">IFERROR(__xludf.DUMMYFUNCTION("""COMPUTED_VALUE""")," Andreas Kostenberger")</f>
        <v xml:space="preserve"> Andreas Kostenberger</v>
      </c>
      <c r="C368" s="12" t="str">
        <f ca="1">IFERROR(__xludf.DUMMYFUNCTION("""COMPUTED_VALUE"""),"John")</f>
        <v>John</v>
      </c>
      <c r="D368" s="12"/>
      <c r="E368" s="12" t="str">
        <f ca="1">IFERROR(__xludf.DUMMYFUNCTION("""COMPUTED_VALUE"""),"Book")</f>
        <v>Book</v>
      </c>
      <c r="F368" s="12" t="str">
        <f ca="1">IFERROR(__xludf.DUMMYFUNCTION("""COMPUTED_VALUE"""),"Reference")</f>
        <v>Reference</v>
      </c>
      <c r="G368" s="12"/>
      <c r="H368" s="12"/>
      <c r="I368" s="12"/>
      <c r="J368" s="12"/>
      <c r="K368" s="13">
        <f ca="1">IFERROR(__xludf.DUMMYFUNCTION("""COMPUTED_VALUE"""),41712)</f>
        <v>41712</v>
      </c>
      <c r="L368" s="12"/>
      <c r="M368" s="12"/>
      <c r="N368" s="12" t="str">
        <f ca="1">IFERROR(__xludf.DUMMYFUNCTION("""COMPUTED_VALUE"""),"Table1")</f>
        <v>Table1</v>
      </c>
    </row>
    <row r="369" spans="1:14" ht="15.75" customHeight="1" x14ac:dyDescent="0.35">
      <c r="A369" s="12" t="str">
        <f ca="1">IFERROR(__xludf.DUMMYFUNCTION("""COMPUTED_VALUE"""),"Kostenberger, Andreas")</f>
        <v>Kostenberger, Andreas</v>
      </c>
      <c r="B369" s="12" t="str">
        <f ca="1">IFERROR(__xludf.DUMMYFUNCTION("""COMPUTED_VALUE""")," Andreas Kostenberger")</f>
        <v xml:space="preserve"> Andreas Kostenberger</v>
      </c>
      <c r="C369" s="12" t="str">
        <f ca="1">IFERROR(__xludf.DUMMYFUNCTION("""COMPUTED_VALUE"""),"Marriage and the Family")</f>
        <v>Marriage and the Family</v>
      </c>
      <c r="D369" s="12"/>
      <c r="E369" s="12" t="str">
        <f ca="1">IFERROR(__xludf.DUMMYFUNCTION("""COMPUTED_VALUE"""),"Book")</f>
        <v>Book</v>
      </c>
      <c r="F369" s="12" t="str">
        <f ca="1">IFERROR(__xludf.DUMMYFUNCTION("""COMPUTED_VALUE"""),"Understanding Mankind")</f>
        <v>Understanding Mankind</v>
      </c>
      <c r="G369" s="12"/>
      <c r="H369" s="12"/>
      <c r="I369" s="12"/>
      <c r="J369" s="12" t="str">
        <f ca="1">IFERROR(__xludf.DUMMYFUNCTION("""COMPUTED_VALUE"""),"Marriage")</f>
        <v>Marriage</v>
      </c>
      <c r="K369" s="13">
        <f ca="1">IFERROR(__xludf.DUMMYFUNCTION("""COMPUTED_VALUE"""),42511)</f>
        <v>42511</v>
      </c>
      <c r="L369" s="12"/>
      <c r="M369" s="12"/>
      <c r="N369" s="12" t="str">
        <f ca="1">IFERROR(__xludf.DUMMYFUNCTION("""COMPUTED_VALUE"""),"Table1")</f>
        <v>Table1</v>
      </c>
    </row>
    <row r="370" spans="1:14" ht="15.75" customHeight="1" x14ac:dyDescent="0.35">
      <c r="A370" s="12" t="str">
        <f ca="1">IFERROR(__xludf.DUMMYFUNCTION("""COMPUTED_VALUE"""),"Kostenberger, Andreas")</f>
        <v>Kostenberger, Andreas</v>
      </c>
      <c r="B370" s="12" t="str">
        <f ca="1">IFERROR(__xludf.DUMMYFUNCTION("""COMPUTED_VALUE""")," Andreas Kostenberger")</f>
        <v xml:space="preserve"> Andreas Kostenberger</v>
      </c>
      <c r="C370" s="12" t="str">
        <f ca="1">IFERROR(__xludf.DUMMYFUNCTION("""COMPUTED_VALUE"""),"Whatever Happened to Truth")</f>
        <v>Whatever Happened to Truth</v>
      </c>
      <c r="D370" s="12"/>
      <c r="E370" s="12" t="str">
        <f ca="1">IFERROR(__xludf.DUMMYFUNCTION("""COMPUTED_VALUE"""),"Book")</f>
        <v>Book</v>
      </c>
      <c r="F370" s="12" t="str">
        <f ca="1">IFERROR(__xludf.DUMMYFUNCTION("""COMPUTED_VALUE"""),"Worldview")</f>
        <v>Worldview</v>
      </c>
      <c r="G370" s="12"/>
      <c r="H370" s="12"/>
      <c r="I370" s="12"/>
      <c r="J370" s="12" t="str">
        <f ca="1">IFERROR(__xludf.DUMMYFUNCTION("""COMPUTED_VALUE"""),"Postmodernism, Apologetics")</f>
        <v>Postmodernism, Apologetics</v>
      </c>
      <c r="K370" s="13">
        <f ca="1">IFERROR(__xludf.DUMMYFUNCTION("""COMPUTED_VALUE"""),40247)</f>
        <v>40247</v>
      </c>
      <c r="L370" s="12"/>
      <c r="M370" s="12"/>
      <c r="N370" s="12" t="str">
        <f ca="1">IFERROR(__xludf.DUMMYFUNCTION("""COMPUTED_VALUE"""),"Table1")</f>
        <v>Table1</v>
      </c>
    </row>
    <row r="371" spans="1:14" ht="15.75" customHeight="1" x14ac:dyDescent="0.35">
      <c r="A371" s="12" t="str">
        <f ca="1">IFERROR(__xludf.DUMMYFUNCTION("""COMPUTED_VALUE"""),"Kruger, Melissa")</f>
        <v>Kruger, Melissa</v>
      </c>
      <c r="B371" s="12" t="str">
        <f ca="1">IFERROR(__xludf.DUMMYFUNCTION("""COMPUTED_VALUE""")," Melissa Kruger")</f>
        <v xml:space="preserve"> Melissa Kruger</v>
      </c>
      <c r="C371" s="12" t="str">
        <f ca="1">IFERROR(__xludf.DUMMYFUNCTION("""COMPUTED_VALUE"""),"Wherever You Go, I Want You to Know…")</f>
        <v>Wherever You Go, I Want You to Know…</v>
      </c>
      <c r="D371" s="12"/>
      <c r="E371" s="12" t="str">
        <f ca="1">IFERROR(__xludf.DUMMYFUNCTION("""COMPUTED_VALUE"""),"Book")</f>
        <v>Book</v>
      </c>
      <c r="F371" s="12" t="str">
        <f ca="1">IFERROR(__xludf.DUMMYFUNCTION("""COMPUTED_VALUE"""),"Children")</f>
        <v>Children</v>
      </c>
      <c r="G371" s="12"/>
      <c r="H371" s="12"/>
      <c r="I371" s="12"/>
      <c r="J371" s="12"/>
      <c r="K371" s="13">
        <f ca="1">IFERROR(__xludf.DUMMYFUNCTION("""COMPUTED_VALUE"""),43832)</f>
        <v>43832</v>
      </c>
      <c r="L371" s="12"/>
      <c r="M371" s="12"/>
      <c r="N371" s="12" t="str">
        <f ca="1">IFERROR(__xludf.DUMMYFUNCTION("""COMPUTED_VALUE"""),"Table1")</f>
        <v>Table1</v>
      </c>
    </row>
    <row r="372" spans="1:14" ht="15.75" customHeight="1" x14ac:dyDescent="0.35">
      <c r="A372" s="12" t="str">
        <f ca="1">IFERROR(__xludf.DUMMYFUNCTION("""COMPUTED_VALUE"""),"Kruis, John G")</f>
        <v>Kruis, John G</v>
      </c>
      <c r="B372" s="12" t="str">
        <f ca="1">IFERROR(__xludf.DUMMYFUNCTION("""COMPUTED_VALUE""")," John G Kruis")</f>
        <v xml:space="preserve"> John G Kruis</v>
      </c>
      <c r="C372" s="12" t="str">
        <f ca="1">IFERROR(__xludf.DUMMYFUNCTION("""COMPUTED_VALUE"""),"Quick Scripture Reference for Counseling")</f>
        <v>Quick Scripture Reference for Counseling</v>
      </c>
      <c r="D372" s="12"/>
      <c r="E372" s="12" t="str">
        <f ca="1">IFERROR(__xludf.DUMMYFUNCTION("""COMPUTED_VALUE"""),"Book")</f>
        <v>Book</v>
      </c>
      <c r="F372" s="12" t="str">
        <f ca="1">IFERROR(__xludf.DUMMYFUNCTION("""COMPUTED_VALUE"""),"Understanding Mankind")</f>
        <v>Understanding Mankind</v>
      </c>
      <c r="G372" s="12"/>
      <c r="H372" s="12"/>
      <c r="I372" s="12"/>
      <c r="J372" s="12" t="str">
        <f ca="1">IFERROR(__xludf.DUMMYFUNCTION("""COMPUTED_VALUE"""),"Counseling")</f>
        <v>Counseling</v>
      </c>
      <c r="K372" s="13">
        <f ca="1">IFERROR(__xludf.DUMMYFUNCTION("""COMPUTED_VALUE"""),40036)</f>
        <v>40036</v>
      </c>
      <c r="L372" s="12"/>
      <c r="M372" s="12"/>
      <c r="N372" s="12" t="str">
        <f ca="1">IFERROR(__xludf.DUMMYFUNCTION("""COMPUTED_VALUE"""),"Table1")</f>
        <v>Table1</v>
      </c>
    </row>
    <row r="373" spans="1:14" ht="15.75" customHeight="1" x14ac:dyDescent="0.35">
      <c r="A373" s="12" t="str">
        <f ca="1">IFERROR(__xludf.DUMMYFUNCTION("""COMPUTED_VALUE"""),"Ladd, George Eldon")</f>
        <v>Ladd, George Eldon</v>
      </c>
      <c r="B373" s="12" t="str">
        <f ca="1">IFERROR(__xludf.DUMMYFUNCTION("""COMPUTED_VALUE""")," George Eldon Ladd")</f>
        <v xml:space="preserve"> George Eldon Ladd</v>
      </c>
      <c r="C373" s="12" t="str">
        <f ca="1">IFERROR(__xludf.DUMMYFUNCTION("""COMPUTED_VALUE"""),"The Gospel of the Kingdom")</f>
        <v>The Gospel of the Kingdom</v>
      </c>
      <c r="D373" s="12"/>
      <c r="E373" s="12" t="str">
        <f ca="1">IFERROR(__xludf.DUMMYFUNCTION("""COMPUTED_VALUE"""),"Book")</f>
        <v>Book</v>
      </c>
      <c r="F373" s="12" t="str">
        <f ca="1">IFERROR(__xludf.DUMMYFUNCTION("""COMPUTED_VALUE"""),"Theology")</f>
        <v>Theology</v>
      </c>
      <c r="G373" s="12"/>
      <c r="H373" s="12"/>
      <c r="I373" s="12"/>
      <c r="J373" s="12" t="str">
        <f ca="1">IFERROR(__xludf.DUMMYFUNCTION("""COMPUTED_VALUE"""),"Gospel")</f>
        <v>Gospel</v>
      </c>
      <c r="K373" s="13">
        <f ca="1">IFERROR(__xludf.DUMMYFUNCTION("""COMPUTED_VALUE"""),40037)</f>
        <v>40037</v>
      </c>
      <c r="L373" s="12"/>
      <c r="M373" s="12"/>
      <c r="N373" s="12" t="str">
        <f ca="1">IFERROR(__xludf.DUMMYFUNCTION("""COMPUTED_VALUE"""),"Table1")</f>
        <v>Table1</v>
      </c>
    </row>
    <row r="374" spans="1:14" ht="15.75" customHeight="1" x14ac:dyDescent="0.35">
      <c r="A374" s="12" t="str">
        <f ca="1">IFERROR(__xludf.DUMMYFUNCTION("""COMPUTED_VALUE"""),"Laferton, Carl")</f>
        <v>Laferton, Carl</v>
      </c>
      <c r="B374" s="12" t="str">
        <f ca="1">IFERROR(__xludf.DUMMYFUNCTION("""COMPUTED_VALUE""")," Carl Laferton")</f>
        <v xml:space="preserve"> Carl Laferton</v>
      </c>
      <c r="C374" s="12" t="str">
        <f ca="1">IFERROR(__xludf.DUMMYFUNCTION("""COMPUTED_VALUE"""),"Christmas Uncut")</f>
        <v>Christmas Uncut</v>
      </c>
      <c r="D374" s="12"/>
      <c r="E374" s="12" t="str">
        <f ca="1">IFERROR(__xludf.DUMMYFUNCTION("""COMPUTED_VALUE"""),"Book")</f>
        <v>Book</v>
      </c>
      <c r="F374" s="12" t="str">
        <f ca="1">IFERROR(__xludf.DUMMYFUNCTION("""COMPUTED_VALUE"""),"Worldview")</f>
        <v>Worldview</v>
      </c>
      <c r="G374" s="12"/>
      <c r="H374" s="12"/>
      <c r="I374" s="12"/>
      <c r="J374" s="12" t="str">
        <f ca="1">IFERROR(__xludf.DUMMYFUNCTION("""COMPUTED_VALUE"""),"Christmas")</f>
        <v>Christmas</v>
      </c>
      <c r="K374" s="13">
        <f ca="1">IFERROR(__xludf.DUMMYFUNCTION("""COMPUTED_VALUE"""),41527)</f>
        <v>41527</v>
      </c>
      <c r="L374" s="12"/>
      <c r="M374" s="12"/>
      <c r="N374" s="12" t="str">
        <f ca="1">IFERROR(__xludf.DUMMYFUNCTION("""COMPUTED_VALUE"""),"Table1")</f>
        <v>Table1</v>
      </c>
    </row>
    <row r="375" spans="1:14" ht="15.75" customHeight="1" x14ac:dyDescent="0.35">
      <c r="A375" s="12" t="str">
        <f ca="1">IFERROR(__xludf.DUMMYFUNCTION("""COMPUTED_VALUE"""),"Laferton, Carl")</f>
        <v>Laferton, Carl</v>
      </c>
      <c r="B375" s="12" t="str">
        <f ca="1">IFERROR(__xludf.DUMMYFUNCTION("""COMPUTED_VALUE""")," Carl Laferton")</f>
        <v xml:space="preserve"> Carl Laferton</v>
      </c>
      <c r="C375" s="12" t="str">
        <f ca="1">IFERROR(__xludf.DUMMYFUNCTION("""COMPUTED_VALUE"""),"The Garden, the Curtain and the Cross")</f>
        <v>The Garden, the Curtain and the Cross</v>
      </c>
      <c r="D375" s="12"/>
      <c r="E375" s="12" t="str">
        <f ca="1">IFERROR(__xludf.DUMMYFUNCTION("""COMPUTED_VALUE"""),"Book")</f>
        <v>Book</v>
      </c>
      <c r="F375" s="12" t="str">
        <f ca="1">IFERROR(__xludf.DUMMYFUNCTION("""COMPUTED_VALUE"""),"Children")</f>
        <v>Children</v>
      </c>
      <c r="G375" s="12"/>
      <c r="H375" s="12"/>
      <c r="I375" s="12"/>
      <c r="J375" s="12"/>
      <c r="K375" s="13">
        <f ca="1">IFERROR(__xludf.DUMMYFUNCTION("""COMPUTED_VALUE"""),42476)</f>
        <v>42476</v>
      </c>
      <c r="L375" s="12"/>
      <c r="M375" s="12"/>
      <c r="N375" s="12" t="str">
        <f ca="1">IFERROR(__xludf.DUMMYFUNCTION("""COMPUTED_VALUE"""),"Table1")</f>
        <v>Table1</v>
      </c>
    </row>
    <row r="376" spans="1:14" ht="15.75" customHeight="1" x14ac:dyDescent="0.35">
      <c r="A376" s="12" t="str">
        <f ca="1">IFERROR(__xludf.DUMMYFUNCTION("""COMPUTED_VALUE"""),"Lamb, David T.")</f>
        <v>Lamb, David T.</v>
      </c>
      <c r="B376" s="12" t="str">
        <f ca="1">IFERROR(__xludf.DUMMYFUNCTION("""COMPUTED_VALUE""")," David T. Lamb")</f>
        <v xml:space="preserve"> David T. Lamb</v>
      </c>
      <c r="C376" s="12" t="str">
        <f ca="1">IFERROR(__xludf.DUMMYFUNCTION("""COMPUTED_VALUE"""),"God Behaving Badly")</f>
        <v>God Behaving Badly</v>
      </c>
      <c r="D376" s="12"/>
      <c r="E376" s="12" t="str">
        <f ca="1">IFERROR(__xludf.DUMMYFUNCTION("""COMPUTED_VALUE"""),"Book")</f>
        <v>Book</v>
      </c>
      <c r="F376" s="12" t="str">
        <f ca="1">IFERROR(__xludf.DUMMYFUNCTION("""COMPUTED_VALUE"""),"Theology")</f>
        <v>Theology</v>
      </c>
      <c r="G376" s="12"/>
      <c r="H376" s="12"/>
      <c r="I376" s="12"/>
      <c r="J376" s="12"/>
      <c r="K376" s="13">
        <f ca="1">IFERROR(__xludf.DUMMYFUNCTION("""COMPUTED_VALUE"""),42705)</f>
        <v>42705</v>
      </c>
      <c r="L376" s="12"/>
      <c r="M376" s="12"/>
      <c r="N376" s="12" t="str">
        <f ca="1">IFERROR(__xludf.DUMMYFUNCTION("""COMPUTED_VALUE"""),"Table1")</f>
        <v>Table1</v>
      </c>
    </row>
    <row r="377" spans="1:14" ht="15.75" customHeight="1" x14ac:dyDescent="0.35">
      <c r="A377" s="12" t="str">
        <f ca="1">IFERROR(__xludf.DUMMYFUNCTION("""COMPUTED_VALUE"""),"Lane, Timothy; Tripp, Paul David")</f>
        <v>Lane, Timothy; Tripp, Paul David</v>
      </c>
      <c r="B377" s="12" t="str">
        <f ca="1">IFERROR(__xludf.DUMMYFUNCTION("""COMPUTED_VALUE""")," Timothy Lane; Paul David Tripp")</f>
        <v xml:space="preserve"> Timothy Lane; Paul David Tripp</v>
      </c>
      <c r="C377" s="12" t="str">
        <f ca="1">IFERROR(__xludf.DUMMYFUNCTION("""COMPUTED_VALUE"""),"How People Change")</f>
        <v>How People Change</v>
      </c>
      <c r="D377" s="12" t="str">
        <f ca="1">IFERROR(__xludf.DUMMYFUNCTION("""COMPUTED_VALUE"""),"Tripp")</f>
        <v>Tripp</v>
      </c>
      <c r="E377" s="12" t="str">
        <f ca="1">IFERROR(__xludf.DUMMYFUNCTION("""COMPUTED_VALUE"""),"Book")</f>
        <v>Book</v>
      </c>
      <c r="F377" s="12" t="str">
        <f ca="1">IFERROR(__xludf.DUMMYFUNCTION("""COMPUTED_VALUE"""),"Understanding Mankind")</f>
        <v>Understanding Mankind</v>
      </c>
      <c r="G377" s="12"/>
      <c r="H377" s="12"/>
      <c r="I377" s="12"/>
      <c r="J377" s="12"/>
      <c r="K377" s="13">
        <f ca="1">IFERROR(__xludf.DUMMYFUNCTION("""COMPUTED_VALUE"""),40038)</f>
        <v>40038</v>
      </c>
      <c r="L377" s="12"/>
      <c r="M377" s="12"/>
      <c r="N377" s="12" t="str">
        <f ca="1">IFERROR(__xludf.DUMMYFUNCTION("""COMPUTED_VALUE"""),"Table1")</f>
        <v>Table1</v>
      </c>
    </row>
    <row r="378" spans="1:14" ht="15.75" customHeight="1" x14ac:dyDescent="0.35">
      <c r="A378" s="12" t="str">
        <f ca="1">IFERROR(__xludf.DUMMYFUNCTION("""COMPUTED_VALUE"""),"Lane, Timothy; Tripp, Paul David")</f>
        <v>Lane, Timothy; Tripp, Paul David</v>
      </c>
      <c r="B378" s="12" t="str">
        <f ca="1">IFERROR(__xludf.DUMMYFUNCTION("""COMPUTED_VALUE""")," Timothy Lane; Paul David Tripp")</f>
        <v xml:space="preserve"> Timothy Lane; Paul David Tripp</v>
      </c>
      <c r="C378" s="12" t="str">
        <f ca="1">IFERROR(__xludf.DUMMYFUNCTION("""COMPUTED_VALUE"""),"Relationships: A Mess Worth Making")</f>
        <v>Relationships: A Mess Worth Making</v>
      </c>
      <c r="D378" s="12" t="str">
        <f ca="1">IFERROR(__xludf.DUMMYFUNCTION("""COMPUTED_VALUE"""),"Tripp")</f>
        <v>Tripp</v>
      </c>
      <c r="E378" s="12" t="str">
        <f ca="1">IFERROR(__xludf.DUMMYFUNCTION("""COMPUTED_VALUE"""),"Book")</f>
        <v>Book</v>
      </c>
      <c r="F378" s="12" t="str">
        <f ca="1">IFERROR(__xludf.DUMMYFUNCTION("""COMPUTED_VALUE"""),"Understanding Mankind")</f>
        <v>Understanding Mankind</v>
      </c>
      <c r="G378" s="12"/>
      <c r="H378" s="12"/>
      <c r="I378" s="12"/>
      <c r="J378" s="12" t="str">
        <f ca="1">IFERROR(__xludf.DUMMYFUNCTION("""COMPUTED_VALUE"""),"Relationships, Fellowship")</f>
        <v>Relationships, Fellowship</v>
      </c>
      <c r="K378" s="13">
        <f ca="1">IFERROR(__xludf.DUMMYFUNCTION("""COMPUTED_VALUE"""),40735)</f>
        <v>40735</v>
      </c>
      <c r="L378" s="12"/>
      <c r="M378" s="12"/>
      <c r="N378" s="12" t="str">
        <f ca="1">IFERROR(__xludf.DUMMYFUNCTION("""COMPUTED_VALUE"""),"Table1")</f>
        <v>Table1</v>
      </c>
    </row>
    <row r="379" spans="1:14" ht="15.75" customHeight="1" x14ac:dyDescent="0.35">
      <c r="A379" s="12" t="str">
        <f ca="1">IFERROR(__xludf.DUMMYFUNCTION("""COMPUTED_VALUE"""),"Lawrence, Michael")</f>
        <v>Lawrence, Michael</v>
      </c>
      <c r="B379" s="12" t="str">
        <f ca="1">IFERROR(__xludf.DUMMYFUNCTION("""COMPUTED_VALUE""")," Michael Lawrence")</f>
        <v xml:space="preserve"> Michael Lawrence</v>
      </c>
      <c r="C379" s="12" t="str">
        <f ca="1">IFERROR(__xludf.DUMMYFUNCTION("""COMPUTED_VALUE"""),"Conversion")</f>
        <v>Conversion</v>
      </c>
      <c r="D379" s="12" t="str">
        <f ca="1">IFERROR(__xludf.DUMMYFUNCTION("""COMPUTED_VALUE"""),"9 Marks")</f>
        <v>9 Marks</v>
      </c>
      <c r="E379" s="12" t="str">
        <f ca="1">IFERROR(__xludf.DUMMYFUNCTION("""COMPUTED_VALUE"""),"Book")</f>
        <v>Book</v>
      </c>
      <c r="F379" s="12" t="str">
        <f ca="1">IFERROR(__xludf.DUMMYFUNCTION("""COMPUTED_VALUE"""),"Church")</f>
        <v>Church</v>
      </c>
      <c r="G379" s="12"/>
      <c r="H379" s="12" t="str">
        <f ca="1">IFERROR(__xludf.DUMMYFUNCTION("""COMPUTED_VALUE"""),"9 Marks")</f>
        <v>9 Marks</v>
      </c>
      <c r="I379" s="12"/>
      <c r="J379" s="12"/>
      <c r="K379" s="13">
        <f ca="1">IFERROR(__xludf.DUMMYFUNCTION("""COMPUTED_VALUE"""),43046)</f>
        <v>43046</v>
      </c>
      <c r="L379" s="12"/>
      <c r="M379" s="12"/>
      <c r="N379" s="12" t="str">
        <f ca="1">IFERROR(__xludf.DUMMYFUNCTION("""COMPUTED_VALUE"""),"Table1")</f>
        <v>Table1</v>
      </c>
    </row>
    <row r="380" spans="1:14" ht="15.75" customHeight="1" x14ac:dyDescent="0.35">
      <c r="A380" s="12" t="str">
        <f ca="1">IFERROR(__xludf.DUMMYFUNCTION("""COMPUTED_VALUE"""),"Lawton, Wendy")</f>
        <v>Lawton, Wendy</v>
      </c>
      <c r="B380" s="12" t="str">
        <f ca="1">IFERROR(__xludf.DUMMYFUNCTION("""COMPUTED_VALUE""")," Wendy Lawton")</f>
        <v xml:space="preserve"> Wendy Lawton</v>
      </c>
      <c r="C380" s="12" t="str">
        <f ca="1">IFERROR(__xludf.DUMMYFUNCTION("""COMPUTED_VALUE"""),"Almost Home: A Story Based on the Life of the Mayflower's Mary Chilton")</f>
        <v>Almost Home: A Story Based on the Life of the Mayflower's Mary Chilton</v>
      </c>
      <c r="D380" s="12" t="str">
        <f ca="1">IFERROR(__xludf.DUMMYFUNCTION("""COMPUTED_VALUE"""),"Daughters of the Faith")</f>
        <v>Daughters of the Faith</v>
      </c>
      <c r="E380" s="12" t="str">
        <f ca="1">IFERROR(__xludf.DUMMYFUNCTION("""COMPUTED_VALUE"""),"Book")</f>
        <v>Book</v>
      </c>
      <c r="F380" s="12" t="str">
        <f ca="1">IFERROR(__xludf.DUMMYFUNCTION("""COMPUTED_VALUE"""),"Fiction")</f>
        <v>Fiction</v>
      </c>
      <c r="G380" s="12"/>
      <c r="H380" s="12"/>
      <c r="I380" s="12"/>
      <c r="J380" s="12"/>
      <c r="K380" s="13">
        <f ca="1">IFERROR(__xludf.DUMMYFUNCTION("""COMPUTED_VALUE"""),40039)</f>
        <v>40039</v>
      </c>
      <c r="L380" s="12"/>
      <c r="M380" s="12"/>
      <c r="N380" s="12" t="str">
        <f ca="1">IFERROR(__xludf.DUMMYFUNCTION("""COMPUTED_VALUE"""),"Table1")</f>
        <v>Table1</v>
      </c>
    </row>
    <row r="381" spans="1:14" ht="15.75" customHeight="1" x14ac:dyDescent="0.35">
      <c r="A381" s="12" t="str">
        <f ca="1">IFERROR(__xludf.DUMMYFUNCTION("""COMPUTED_VALUE"""),"Lawton, Wendy")</f>
        <v>Lawton, Wendy</v>
      </c>
      <c r="B381" s="12" t="str">
        <f ca="1">IFERROR(__xludf.DUMMYFUNCTION("""COMPUTED_VALUE""")," Wendy Lawton")</f>
        <v xml:space="preserve"> Wendy Lawton</v>
      </c>
      <c r="C381" s="12" t="str">
        <f ca="1">IFERROR(__xludf.DUMMYFUNCTION("""COMPUTED_VALUE"""),"Shadow of His Hand: A Story Based on the Life of Holocaust Survivor Anita Dittman")</f>
        <v>Shadow of His Hand: A Story Based on the Life of Holocaust Survivor Anita Dittman</v>
      </c>
      <c r="D381" s="12" t="str">
        <f ca="1">IFERROR(__xludf.DUMMYFUNCTION("""COMPUTED_VALUE"""),"Daughters of the Faith")</f>
        <v>Daughters of the Faith</v>
      </c>
      <c r="E381" s="12" t="str">
        <f ca="1">IFERROR(__xludf.DUMMYFUNCTION("""COMPUTED_VALUE"""),"Book")</f>
        <v>Book</v>
      </c>
      <c r="F381" s="12" t="str">
        <f ca="1">IFERROR(__xludf.DUMMYFUNCTION("""COMPUTED_VALUE"""),"Fiction")</f>
        <v>Fiction</v>
      </c>
      <c r="G381" s="12"/>
      <c r="H381" s="12"/>
      <c r="I381" s="12"/>
      <c r="J381" s="12"/>
      <c r="K381" s="13">
        <f ca="1">IFERROR(__xludf.DUMMYFUNCTION("""COMPUTED_VALUE"""),40040)</f>
        <v>40040</v>
      </c>
      <c r="L381" s="12"/>
      <c r="M381" s="12"/>
      <c r="N381" s="12" t="str">
        <f ca="1">IFERROR(__xludf.DUMMYFUNCTION("""COMPUTED_VALUE"""),"Table1")</f>
        <v>Table1</v>
      </c>
    </row>
    <row r="382" spans="1:14" ht="15.75" customHeight="1" x14ac:dyDescent="0.35">
      <c r="A382" s="12" t="str">
        <f ca="1">IFERROR(__xludf.DUMMYFUNCTION("""COMPUTED_VALUE"""),"Lawton, Wendy")</f>
        <v>Lawton, Wendy</v>
      </c>
      <c r="B382" s="12" t="str">
        <f ca="1">IFERROR(__xludf.DUMMYFUNCTION("""COMPUTED_VALUE""")," Wendy Lawton")</f>
        <v xml:space="preserve"> Wendy Lawton</v>
      </c>
      <c r="C382" s="12" t="str">
        <f ca="1">IFERROR(__xludf.DUMMYFUNCTION("""COMPUTED_VALUE"""),"The Tinker's Daughter: A Story Based on the Life of Mary Bunyan")</f>
        <v>The Tinker's Daughter: A Story Based on the Life of Mary Bunyan</v>
      </c>
      <c r="D382" s="12" t="str">
        <f ca="1">IFERROR(__xludf.DUMMYFUNCTION("""COMPUTED_VALUE"""),"Daughters of the Faith")</f>
        <v>Daughters of the Faith</v>
      </c>
      <c r="E382" s="12" t="str">
        <f ca="1">IFERROR(__xludf.DUMMYFUNCTION("""COMPUTED_VALUE"""),"Book")</f>
        <v>Book</v>
      </c>
      <c r="F382" s="12" t="str">
        <f ca="1">IFERROR(__xludf.DUMMYFUNCTION("""COMPUTED_VALUE"""),"Fiction")</f>
        <v>Fiction</v>
      </c>
      <c r="G382" s="12"/>
      <c r="H382" s="12"/>
      <c r="I382" s="12"/>
      <c r="J382" s="12"/>
      <c r="K382" s="13">
        <f ca="1">IFERROR(__xludf.DUMMYFUNCTION("""COMPUTED_VALUE"""),40041)</f>
        <v>40041</v>
      </c>
      <c r="L382" s="12"/>
      <c r="M382" s="12"/>
      <c r="N382" s="12" t="str">
        <f ca="1">IFERROR(__xludf.DUMMYFUNCTION("""COMPUTED_VALUE"""),"Table1")</f>
        <v>Table1</v>
      </c>
    </row>
    <row r="383" spans="1:14" ht="15.75" customHeight="1" x14ac:dyDescent="0.35">
      <c r="A383" s="12" t="str">
        <f ca="1">IFERROR(__xludf.DUMMYFUNCTION("""COMPUTED_VALUE"""),"Leahy, Frederick S")</f>
        <v>Leahy, Frederick S</v>
      </c>
      <c r="B383" s="12" t="str">
        <f ca="1">IFERROR(__xludf.DUMMYFUNCTION("""COMPUTED_VALUE""")," Frederick S Leahy")</f>
        <v xml:space="preserve"> Frederick S Leahy</v>
      </c>
      <c r="C383" s="12" t="str">
        <f ca="1">IFERROR(__xludf.DUMMYFUNCTION("""COMPUTED_VALUE"""),"The Hand of God")</f>
        <v>The Hand of God</v>
      </c>
      <c r="D383" s="12"/>
      <c r="E383" s="12" t="str">
        <f ca="1">IFERROR(__xludf.DUMMYFUNCTION("""COMPUTED_VALUE"""),"Book")</f>
        <v>Book</v>
      </c>
      <c r="F383" s="12" t="str">
        <f ca="1">IFERROR(__xludf.DUMMYFUNCTION("""COMPUTED_VALUE"""),"Discipleship")</f>
        <v>Discipleship</v>
      </c>
      <c r="G383" s="12"/>
      <c r="H383" s="12"/>
      <c r="I383" s="12"/>
      <c r="J383" s="12"/>
      <c r="K383" s="13">
        <f ca="1">IFERROR(__xludf.DUMMYFUNCTION("""COMPUTED_VALUE"""),40043)</f>
        <v>40043</v>
      </c>
      <c r="L383" s="12"/>
      <c r="M383" s="12"/>
      <c r="N383" s="12" t="str">
        <f ca="1">IFERROR(__xludf.DUMMYFUNCTION("""COMPUTED_VALUE"""),"Table1")</f>
        <v>Table1</v>
      </c>
    </row>
    <row r="384" spans="1:14" ht="15.75" customHeight="1" x14ac:dyDescent="0.35">
      <c r="A384" s="12" t="str">
        <f ca="1">IFERROR(__xludf.DUMMYFUNCTION("""COMPUTED_VALUE"""),"Leeman, Jonathan")</f>
        <v>Leeman, Jonathan</v>
      </c>
      <c r="B384" s="12" t="str">
        <f ca="1">IFERROR(__xludf.DUMMYFUNCTION("""COMPUTED_VALUE""")," Jonathan Leeman")</f>
        <v xml:space="preserve"> Jonathan Leeman</v>
      </c>
      <c r="C384" s="12" t="str">
        <f ca="1">IFERROR(__xludf.DUMMYFUNCTION("""COMPUTED_VALUE"""),"The Church and the Surprising Offense of God's Love")</f>
        <v>The Church and the Surprising Offense of God's Love</v>
      </c>
      <c r="D384" s="12" t="str">
        <f ca="1">IFERROR(__xludf.DUMMYFUNCTION("""COMPUTED_VALUE"""),"9 Marks")</f>
        <v>9 Marks</v>
      </c>
      <c r="E384" s="12" t="str">
        <f ca="1">IFERROR(__xludf.DUMMYFUNCTION("""COMPUTED_VALUE"""),"Book")</f>
        <v>Book</v>
      </c>
      <c r="F384" s="12" t="str">
        <f ca="1">IFERROR(__xludf.DUMMYFUNCTION("""COMPUTED_VALUE"""),"Church")</f>
        <v>Church</v>
      </c>
      <c r="G384" s="12"/>
      <c r="H384" s="12" t="str">
        <f ca="1">IFERROR(__xludf.DUMMYFUNCTION("""COMPUTED_VALUE"""),"9 Marks")</f>
        <v>9 Marks</v>
      </c>
      <c r="I384" s="12"/>
      <c r="J384" s="12"/>
      <c r="K384" s="13">
        <f ca="1">IFERROR(__xludf.DUMMYFUNCTION("""COMPUTED_VALUE"""),40705)</f>
        <v>40705</v>
      </c>
      <c r="L384" s="12"/>
      <c r="M384" s="12"/>
      <c r="N384" s="12" t="str">
        <f ca="1">IFERROR(__xludf.DUMMYFUNCTION("""COMPUTED_VALUE"""),"Table1")</f>
        <v>Table1</v>
      </c>
    </row>
    <row r="385" spans="1:14" ht="15.75" customHeight="1" x14ac:dyDescent="0.35">
      <c r="A385" s="12" t="str">
        <f ca="1">IFERROR(__xludf.DUMMYFUNCTION("""COMPUTED_VALUE"""),"Leeman, Jonathan")</f>
        <v>Leeman, Jonathan</v>
      </c>
      <c r="B385" s="12" t="str">
        <f ca="1">IFERROR(__xludf.DUMMYFUNCTION("""COMPUTED_VALUE""")," Jonathan Leeman")</f>
        <v xml:space="preserve"> Jonathan Leeman</v>
      </c>
      <c r="C385" s="12" t="str">
        <f ca="1">IFERROR(__xludf.DUMMYFUNCTION("""COMPUTED_VALUE"""),"Church Discipline")</f>
        <v>Church Discipline</v>
      </c>
      <c r="D385" s="12" t="str">
        <f ca="1">IFERROR(__xludf.DUMMYFUNCTION("""COMPUTED_VALUE"""),"9 Marks")</f>
        <v>9 Marks</v>
      </c>
      <c r="E385" s="12" t="str">
        <f ca="1">IFERROR(__xludf.DUMMYFUNCTION("""COMPUTED_VALUE"""),"Book")</f>
        <v>Book</v>
      </c>
      <c r="F385" s="12" t="str">
        <f ca="1">IFERROR(__xludf.DUMMYFUNCTION("""COMPUTED_VALUE"""),"Church")</f>
        <v>Church</v>
      </c>
      <c r="G385" s="12"/>
      <c r="H385" s="12" t="str">
        <f ca="1">IFERROR(__xludf.DUMMYFUNCTION("""COMPUTED_VALUE"""),"9 Marks")</f>
        <v>9 Marks</v>
      </c>
      <c r="I385" s="12"/>
      <c r="J385" s="12" t="str">
        <f ca="1">IFERROR(__xludf.DUMMYFUNCTION("""COMPUTED_VALUE"""),"Church Discipline")</f>
        <v>Church Discipline</v>
      </c>
      <c r="K385" s="13">
        <f ca="1">IFERROR(__xludf.DUMMYFUNCTION("""COMPUTED_VALUE"""),41041)</f>
        <v>41041</v>
      </c>
      <c r="L385" s="12"/>
      <c r="M385" s="12"/>
      <c r="N385" s="12" t="str">
        <f ca="1">IFERROR(__xludf.DUMMYFUNCTION("""COMPUTED_VALUE"""),"Table1")</f>
        <v>Table1</v>
      </c>
    </row>
    <row r="386" spans="1:14" ht="15.75" customHeight="1" x14ac:dyDescent="0.35">
      <c r="A386" s="12" t="str">
        <f ca="1">IFERROR(__xludf.DUMMYFUNCTION("""COMPUTED_VALUE"""),"Leeman, Jonathan")</f>
        <v>Leeman, Jonathan</v>
      </c>
      <c r="B386" s="12" t="str">
        <f ca="1">IFERROR(__xludf.DUMMYFUNCTION("""COMPUTED_VALUE""")," Jonathan Leeman")</f>
        <v xml:space="preserve"> Jonathan Leeman</v>
      </c>
      <c r="C386" s="12" t="str">
        <f ca="1">IFERROR(__xludf.DUMMYFUNCTION("""COMPUTED_VALUE"""),"Church Membership")</f>
        <v>Church Membership</v>
      </c>
      <c r="D386" s="12" t="str">
        <f ca="1">IFERROR(__xludf.DUMMYFUNCTION("""COMPUTED_VALUE"""),"9 Marks")</f>
        <v>9 Marks</v>
      </c>
      <c r="E386" s="12" t="str">
        <f ca="1">IFERROR(__xludf.DUMMYFUNCTION("""COMPUTED_VALUE"""),"Book")</f>
        <v>Book</v>
      </c>
      <c r="F386" s="12" t="str">
        <f ca="1">IFERROR(__xludf.DUMMYFUNCTION("""COMPUTED_VALUE"""),"Church")</f>
        <v>Church</v>
      </c>
      <c r="G386" s="12"/>
      <c r="H386" s="12" t="str">
        <f ca="1">IFERROR(__xludf.DUMMYFUNCTION("""COMPUTED_VALUE"""),"9 Marks")</f>
        <v>9 Marks</v>
      </c>
      <c r="I386" s="12"/>
      <c r="J386" s="12" t="str">
        <f ca="1">IFERROR(__xludf.DUMMYFUNCTION("""COMPUTED_VALUE"""),"Church Membership")</f>
        <v>Church Membership</v>
      </c>
      <c r="K386" s="13">
        <f ca="1">IFERROR(__xludf.DUMMYFUNCTION("""COMPUTED_VALUE"""),41041)</f>
        <v>41041</v>
      </c>
      <c r="L386" s="12"/>
      <c r="M386" s="12"/>
      <c r="N386" s="12" t="str">
        <f ca="1">IFERROR(__xludf.DUMMYFUNCTION("""COMPUTED_VALUE"""),"Table1")</f>
        <v>Table1</v>
      </c>
    </row>
    <row r="387" spans="1:14" ht="15.75" customHeight="1" x14ac:dyDescent="0.35">
      <c r="A387" s="12" t="str">
        <f ca="1">IFERROR(__xludf.DUMMYFUNCTION("""COMPUTED_VALUE"""),"Leeman, Jonathan")</f>
        <v>Leeman, Jonathan</v>
      </c>
      <c r="B387" s="12" t="str">
        <f ca="1">IFERROR(__xludf.DUMMYFUNCTION("""COMPUTED_VALUE""")," Jonathan Leeman")</f>
        <v xml:space="preserve"> Jonathan Leeman</v>
      </c>
      <c r="C387" s="12" t="str">
        <f ca="1">IFERROR(__xludf.DUMMYFUNCTION("""COMPUTED_VALUE"""),"The Rule of Love: How the Local Church Should Reflect God's Love and Authority")</f>
        <v>The Rule of Love: How the Local Church Should Reflect God's Love and Authority</v>
      </c>
      <c r="D387" s="12" t="str">
        <f ca="1">IFERROR(__xludf.DUMMYFUNCTION("""COMPUTED_VALUE"""),"9 Marks")</f>
        <v>9 Marks</v>
      </c>
      <c r="E387" s="12" t="str">
        <f ca="1">IFERROR(__xludf.DUMMYFUNCTION("""COMPUTED_VALUE"""),"Book")</f>
        <v>Book</v>
      </c>
      <c r="F387" s="12" t="str">
        <f ca="1">IFERROR(__xludf.DUMMYFUNCTION("""COMPUTED_VALUE"""),"Church")</f>
        <v>Church</v>
      </c>
      <c r="G387" s="12"/>
      <c r="H387" s="12" t="str">
        <f ca="1">IFERROR(__xludf.DUMMYFUNCTION("""COMPUTED_VALUE"""),"9 Marks")</f>
        <v>9 Marks</v>
      </c>
      <c r="I387" s="12"/>
      <c r="J387" s="12"/>
      <c r="K387" s="13"/>
      <c r="L387" s="12"/>
      <c r="M387" s="12"/>
      <c r="N387" s="12" t="str">
        <f ca="1">IFERROR(__xludf.DUMMYFUNCTION("""COMPUTED_VALUE"""),"Table1")</f>
        <v>Table1</v>
      </c>
    </row>
    <row r="388" spans="1:14" ht="15.75" customHeight="1" x14ac:dyDescent="0.35">
      <c r="A388" s="12" t="str">
        <f ca="1">IFERROR(__xludf.DUMMYFUNCTION("""COMPUTED_VALUE"""),"Leeman, Jonathan")</f>
        <v>Leeman, Jonathan</v>
      </c>
      <c r="B388" s="12" t="str">
        <f ca="1">IFERROR(__xludf.DUMMYFUNCTION("""COMPUTED_VALUE""")," Jonathan Leeman")</f>
        <v xml:space="preserve"> Jonathan Leeman</v>
      </c>
      <c r="C388" s="12" t="str">
        <f ca="1">IFERROR(__xludf.DUMMYFUNCTION("""COMPUTED_VALUE"""),"Word Centered Church")</f>
        <v>Word Centered Church</v>
      </c>
      <c r="D388" s="12" t="str">
        <f ca="1">IFERROR(__xludf.DUMMYFUNCTION("""COMPUTED_VALUE"""),"9 Marks")</f>
        <v>9 Marks</v>
      </c>
      <c r="E388" s="12" t="str">
        <f ca="1">IFERROR(__xludf.DUMMYFUNCTION("""COMPUTED_VALUE"""),"Book")</f>
        <v>Book</v>
      </c>
      <c r="F388" s="12" t="str">
        <f ca="1">IFERROR(__xludf.DUMMYFUNCTION("""COMPUTED_VALUE"""),"Church")</f>
        <v>Church</v>
      </c>
      <c r="G388" s="12"/>
      <c r="H388" s="12" t="str">
        <f ca="1">IFERROR(__xludf.DUMMYFUNCTION("""COMPUTED_VALUE"""),"9 Marks")</f>
        <v>9 Marks</v>
      </c>
      <c r="I388" s="12"/>
      <c r="J388" s="12"/>
      <c r="K388" s="13">
        <f ca="1">IFERROR(__xludf.DUMMYFUNCTION("""COMPUTED_VALUE"""),43160)</f>
        <v>43160</v>
      </c>
      <c r="L388" s="12"/>
      <c r="M388" s="12"/>
      <c r="N388" s="12" t="str">
        <f ca="1">IFERROR(__xludf.DUMMYFUNCTION("""COMPUTED_VALUE"""),"Table1")</f>
        <v>Table1</v>
      </c>
    </row>
    <row r="389" spans="1:14" ht="15.75" customHeight="1" x14ac:dyDescent="0.35">
      <c r="A389" s="12" t="str">
        <f ca="1">IFERROR(__xludf.DUMMYFUNCTION("""COMPUTED_VALUE"""),"Legg, John D.")</f>
        <v>Legg, John D.</v>
      </c>
      <c r="B389" s="12" t="str">
        <f ca="1">IFERROR(__xludf.DUMMYFUNCTION("""COMPUTED_VALUE""")," John D. Legg")</f>
        <v xml:space="preserve"> John D. Legg</v>
      </c>
      <c r="C389" s="12" t="str">
        <f ca="1">IFERROR(__xludf.DUMMYFUNCTION("""COMPUTED_VALUE"""),"The Church That Christ Built")</f>
        <v>The Church That Christ Built</v>
      </c>
      <c r="D389" s="12"/>
      <c r="E389" s="12" t="str">
        <f ca="1">IFERROR(__xludf.DUMMYFUNCTION("""COMPUTED_VALUE"""),"Book")</f>
        <v>Book</v>
      </c>
      <c r="F389" s="12" t="str">
        <f ca="1">IFERROR(__xludf.DUMMYFUNCTION("""COMPUTED_VALUE"""),"Church History")</f>
        <v>Church History</v>
      </c>
      <c r="G389" s="12"/>
      <c r="H389" s="12"/>
      <c r="I389" s="12"/>
      <c r="J389" s="12" t="str">
        <f ca="1">IFERROR(__xludf.DUMMYFUNCTION("""COMPUTED_VALUE"""),"History")</f>
        <v>History</v>
      </c>
      <c r="K389" s="13">
        <f ca="1">IFERROR(__xludf.DUMMYFUNCTION("""COMPUTED_VALUE"""),40042)</f>
        <v>40042</v>
      </c>
      <c r="L389" s="12"/>
      <c r="M389" s="12"/>
      <c r="N389" s="12" t="str">
        <f ca="1">IFERROR(__xludf.DUMMYFUNCTION("""COMPUTED_VALUE"""),"Table1")</f>
        <v>Table1</v>
      </c>
    </row>
    <row r="390" spans="1:14" ht="15.75" customHeight="1" x14ac:dyDescent="0.35">
      <c r="A390" s="12" t="str">
        <f ca="1">IFERROR(__xludf.DUMMYFUNCTION("""COMPUTED_VALUE"""),"Lennox, John C.")</f>
        <v>Lennox, John C.</v>
      </c>
      <c r="B390" s="12" t="str">
        <f ca="1">IFERROR(__xludf.DUMMYFUNCTION("""COMPUTED_VALUE""")," John C. Lennox")</f>
        <v xml:space="preserve"> John C. Lennox</v>
      </c>
      <c r="C390" s="12" t="str">
        <f ca="1">IFERROR(__xludf.DUMMYFUNCTION("""COMPUTED_VALUE"""),"Can Science Explain Everything?")</f>
        <v>Can Science Explain Everything?</v>
      </c>
      <c r="D390" s="12"/>
      <c r="E390" s="12" t="str">
        <f ca="1">IFERROR(__xludf.DUMMYFUNCTION("""COMPUTED_VALUE"""),"Book")</f>
        <v>Book</v>
      </c>
      <c r="F390" s="12" t="str">
        <f ca="1">IFERROR(__xludf.DUMMYFUNCTION("""COMPUTED_VALUE"""),"Worldview")</f>
        <v>Worldview</v>
      </c>
      <c r="G390" s="12"/>
      <c r="H390" s="12"/>
      <c r="I390" s="12"/>
      <c r="J390" s="12" t="str">
        <f ca="1">IFERROR(__xludf.DUMMYFUNCTION("""COMPUTED_VALUE"""),"Science")</f>
        <v>Science</v>
      </c>
      <c r="K390" s="13">
        <f ca="1">IFERROR(__xludf.DUMMYFUNCTION("""COMPUTED_VALUE"""),44044)</f>
        <v>44044</v>
      </c>
      <c r="L390" s="12"/>
      <c r="M390" s="12"/>
      <c r="N390" s="12" t="str">
        <f ca="1">IFERROR(__xludf.DUMMYFUNCTION("""COMPUTED_VALUE"""),"Table1")</f>
        <v>Table1</v>
      </c>
    </row>
    <row r="391" spans="1:14" ht="15.75" customHeight="1" x14ac:dyDescent="0.35">
      <c r="A391" s="12" t="str">
        <f ca="1">IFERROR(__xludf.DUMMYFUNCTION("""COMPUTED_VALUE"""),"Lewis, C.S.")</f>
        <v>Lewis, C.S.</v>
      </c>
      <c r="B391" s="12" t="str">
        <f ca="1">IFERROR(__xludf.DUMMYFUNCTION("""COMPUTED_VALUE""")," C.S. Lewis")</f>
        <v xml:space="preserve"> C.S. Lewis</v>
      </c>
      <c r="C391" s="12" t="str">
        <f ca="1">IFERROR(__xludf.DUMMYFUNCTION("""COMPUTED_VALUE"""),"The Complete C.S. Lewis Signature Classics")</f>
        <v>The Complete C.S. Lewis Signature Classics</v>
      </c>
      <c r="D391" s="12"/>
      <c r="E391" s="12" t="str">
        <f ca="1">IFERROR(__xludf.DUMMYFUNCTION("""COMPUTED_VALUE"""),"Book")</f>
        <v>Book</v>
      </c>
      <c r="F391" s="12" t="str">
        <f ca="1">IFERROR(__xludf.DUMMYFUNCTION("""COMPUTED_VALUE"""),"Worldview")</f>
        <v>Worldview</v>
      </c>
      <c r="G391" s="12"/>
      <c r="H391" s="12"/>
      <c r="I391" s="12"/>
      <c r="J391" s="12"/>
      <c r="K391" s="13">
        <f ca="1">IFERROR(__xludf.DUMMYFUNCTION("""COMPUTED_VALUE"""),40188)</f>
        <v>40188</v>
      </c>
      <c r="L391" s="12"/>
      <c r="M391" s="12"/>
      <c r="N391" s="12" t="str">
        <f ca="1">IFERROR(__xludf.DUMMYFUNCTION("""COMPUTED_VALUE"""),"Table1")</f>
        <v>Table1</v>
      </c>
    </row>
    <row r="392" spans="1:14" ht="15.75" customHeight="1" x14ac:dyDescent="0.35">
      <c r="A392" s="12" t="str">
        <f ca="1">IFERROR(__xludf.DUMMYFUNCTION("""COMPUTED_VALUE"""),"Lightner, Robert")</f>
        <v>Lightner, Robert</v>
      </c>
      <c r="B392" s="12" t="str">
        <f ca="1">IFERROR(__xludf.DUMMYFUNCTION("""COMPUTED_VALUE""")," Robert Lightner")</f>
        <v xml:space="preserve"> Robert Lightner</v>
      </c>
      <c r="C392" s="12" t="str">
        <f ca="1">IFERROR(__xludf.DUMMYFUNCTION("""COMPUTED_VALUE"""),"Last Days Handbook")</f>
        <v>Last Days Handbook</v>
      </c>
      <c r="D392" s="12"/>
      <c r="E392" s="12" t="str">
        <f ca="1">IFERROR(__xludf.DUMMYFUNCTION("""COMPUTED_VALUE"""),"Book")</f>
        <v>Book</v>
      </c>
      <c r="F392" s="12" t="str">
        <f ca="1">IFERROR(__xludf.DUMMYFUNCTION("""COMPUTED_VALUE"""),"Eschatology")</f>
        <v>Eschatology</v>
      </c>
      <c r="G392" s="12"/>
      <c r="H392" s="12"/>
      <c r="I392" s="12"/>
      <c r="J392" s="12"/>
      <c r="K392" s="13">
        <f ca="1">IFERROR(__xludf.DUMMYFUNCTION("""COMPUTED_VALUE"""),40044)</f>
        <v>40044</v>
      </c>
      <c r="L392" s="12"/>
      <c r="M392" s="12"/>
      <c r="N392" s="12" t="str">
        <f ca="1">IFERROR(__xludf.DUMMYFUNCTION("""COMPUTED_VALUE"""),"Table1")</f>
        <v>Table1</v>
      </c>
    </row>
    <row r="393" spans="1:14" ht="15.75" customHeight="1" x14ac:dyDescent="0.35">
      <c r="A393" s="12" t="str">
        <f ca="1">IFERROR(__xludf.DUMMYFUNCTION("""COMPUTED_VALUE"""),"Lillback, Peter A.")</f>
        <v>Lillback, Peter A.</v>
      </c>
      <c r="B393" s="12" t="str">
        <f ca="1">IFERROR(__xludf.DUMMYFUNCTION("""COMPUTED_VALUE""")," Peter A. Lillback")</f>
        <v xml:space="preserve"> Peter A. Lillback</v>
      </c>
      <c r="C393" s="12" t="str">
        <f ca="1">IFERROR(__xludf.DUMMYFUNCTION("""COMPUTED_VALUE"""),"George Washington's Sacred Fire")</f>
        <v>George Washington's Sacred Fire</v>
      </c>
      <c r="D393" s="12"/>
      <c r="E393" s="12" t="str">
        <f ca="1">IFERROR(__xludf.DUMMYFUNCTION("""COMPUTED_VALUE"""),"Book")</f>
        <v>Book</v>
      </c>
      <c r="F393" s="12" t="str">
        <f ca="1">IFERROR(__xludf.DUMMYFUNCTION("""COMPUTED_VALUE"""),"Biography")</f>
        <v>Biography</v>
      </c>
      <c r="G393" s="12"/>
      <c r="H393" s="12"/>
      <c r="I393" s="12"/>
      <c r="J393" s="12"/>
      <c r="K393" s="13"/>
      <c r="L393" s="12"/>
      <c r="M393" s="12"/>
      <c r="N393" s="12" t="str">
        <f ca="1">IFERROR(__xludf.DUMMYFUNCTION("""COMPUTED_VALUE"""),"Table1")</f>
        <v>Table1</v>
      </c>
    </row>
    <row r="394" spans="1:14" ht="15.75" customHeight="1" x14ac:dyDescent="0.35">
      <c r="A394" s="12" t="str">
        <f ca="1">IFERROR(__xludf.DUMMYFUNCTION("""COMPUTED_VALUE"""),"Lloyd-Jones, D. Martyn")</f>
        <v>Lloyd-Jones, D. Martyn</v>
      </c>
      <c r="B394" s="12" t="str">
        <f ca="1">IFERROR(__xludf.DUMMYFUNCTION("""COMPUTED_VALUE""")," D. Martyn Lloyd-Jones")</f>
        <v xml:space="preserve"> D. Martyn Lloyd-Jones</v>
      </c>
      <c r="C394" s="12" t="str">
        <f ca="1">IFERROR(__xludf.DUMMYFUNCTION("""COMPUTED_VALUE"""),"The Cross")</f>
        <v>The Cross</v>
      </c>
      <c r="D394" s="12"/>
      <c r="E394" s="12" t="str">
        <f ca="1">IFERROR(__xludf.DUMMYFUNCTION("""COMPUTED_VALUE"""),"Book")</f>
        <v>Book</v>
      </c>
      <c r="F394" s="12" t="str">
        <f ca="1">IFERROR(__xludf.DUMMYFUNCTION("""COMPUTED_VALUE"""),"Theology")</f>
        <v>Theology</v>
      </c>
      <c r="G394" s="12"/>
      <c r="H394" s="12"/>
      <c r="I394" s="12"/>
      <c r="J394" s="12"/>
      <c r="K394" s="13">
        <f ca="1">IFERROR(__xludf.DUMMYFUNCTION("""COMPUTED_VALUE"""),40045)</f>
        <v>40045</v>
      </c>
      <c r="L394" s="12"/>
      <c r="M394" s="12"/>
      <c r="N394" s="12" t="str">
        <f ca="1">IFERROR(__xludf.DUMMYFUNCTION("""COMPUTED_VALUE"""),"Table1")</f>
        <v>Table1</v>
      </c>
    </row>
    <row r="395" spans="1:14" ht="15.75" customHeight="1" x14ac:dyDescent="0.35">
      <c r="A395" s="12" t="str">
        <f ca="1">IFERROR(__xludf.DUMMYFUNCTION("""COMPUTED_VALUE"""),"Lloyd-Jones, D. Martyn")</f>
        <v>Lloyd-Jones, D. Martyn</v>
      </c>
      <c r="B395" s="12" t="str">
        <f ca="1">IFERROR(__xludf.DUMMYFUNCTION("""COMPUTED_VALUE""")," D. Martyn Lloyd-Jones")</f>
        <v xml:space="preserve"> D. Martyn Lloyd-Jones</v>
      </c>
      <c r="C395" s="12" t="str">
        <f ca="1">IFERROR(__xludf.DUMMYFUNCTION("""COMPUTED_VALUE"""),"Spiritual Depression:  Its Causes and Its Cure")</f>
        <v>Spiritual Depression:  Its Causes and Its Cure</v>
      </c>
      <c r="D395" s="12"/>
      <c r="E395" s="12" t="str">
        <f ca="1">IFERROR(__xludf.DUMMYFUNCTION("""COMPUTED_VALUE"""),"Book")</f>
        <v>Book</v>
      </c>
      <c r="F395" s="12" t="str">
        <f ca="1">IFERROR(__xludf.DUMMYFUNCTION("""COMPUTED_VALUE"""),"Understanding Mankind")</f>
        <v>Understanding Mankind</v>
      </c>
      <c r="G395" s="12"/>
      <c r="H395" s="12"/>
      <c r="I395" s="12"/>
      <c r="J395" s="12" t="str">
        <f ca="1">IFERROR(__xludf.DUMMYFUNCTION("""COMPUTED_VALUE"""),"Depression")</f>
        <v>Depression</v>
      </c>
      <c r="K395" s="13">
        <f ca="1">IFERROR(__xludf.DUMMYFUNCTION("""COMPUTED_VALUE"""),40046)</f>
        <v>40046</v>
      </c>
      <c r="L395" s="12"/>
      <c r="M395" s="12"/>
      <c r="N395" s="12" t="str">
        <f ca="1">IFERROR(__xludf.DUMMYFUNCTION("""COMPUTED_VALUE"""),"Table1")</f>
        <v>Table1</v>
      </c>
    </row>
    <row r="396" spans="1:14" ht="15.75" customHeight="1" x14ac:dyDescent="0.35">
      <c r="A396" s="12" t="str">
        <f ca="1">IFERROR(__xludf.DUMMYFUNCTION("""COMPUTED_VALUE"""),"Lloyd-Jones, D. Martyn")</f>
        <v>Lloyd-Jones, D. Martyn</v>
      </c>
      <c r="B396" s="12" t="str">
        <f ca="1">IFERROR(__xludf.DUMMYFUNCTION("""COMPUTED_VALUE""")," D. Martyn Lloyd-Jones")</f>
        <v xml:space="preserve"> D. Martyn Lloyd-Jones</v>
      </c>
      <c r="C396" s="12" t="str">
        <f ca="1">IFERROR(__xludf.DUMMYFUNCTION("""COMPUTED_VALUE"""),"Studies in the Sermon on the Mount")</f>
        <v>Studies in the Sermon on the Mount</v>
      </c>
      <c r="D396" s="12"/>
      <c r="E396" s="12" t="str">
        <f ca="1">IFERROR(__xludf.DUMMYFUNCTION("""COMPUTED_VALUE"""),"Book")</f>
        <v>Book</v>
      </c>
      <c r="F396" s="12" t="str">
        <f ca="1">IFERROR(__xludf.DUMMYFUNCTION("""COMPUTED_VALUE"""),"Bible")</f>
        <v>Bible</v>
      </c>
      <c r="G396" s="12"/>
      <c r="H396" s="12"/>
      <c r="I396" s="12"/>
      <c r="J396" s="12"/>
      <c r="K396" s="13">
        <f ca="1">IFERROR(__xludf.DUMMYFUNCTION("""COMPUTED_VALUE"""),40047)</f>
        <v>40047</v>
      </c>
      <c r="L396" s="12"/>
      <c r="M396" s="12"/>
      <c r="N396" s="12" t="str">
        <f ca="1">IFERROR(__xludf.DUMMYFUNCTION("""COMPUTED_VALUE"""),"Table1")</f>
        <v>Table1</v>
      </c>
    </row>
    <row r="397" spans="1:14" ht="15.75" customHeight="1" x14ac:dyDescent="0.35">
      <c r="A397" s="12" t="str">
        <f ca="1">IFERROR(__xludf.DUMMYFUNCTION("""COMPUTED_VALUE"""),"Lloyd-Jones, Sally")</f>
        <v>Lloyd-Jones, Sally</v>
      </c>
      <c r="B397" s="12" t="str">
        <f ca="1">IFERROR(__xludf.DUMMYFUNCTION("""COMPUTED_VALUE""")," Sally Lloyd-Jones")</f>
        <v xml:space="preserve"> Sally Lloyd-Jones</v>
      </c>
      <c r="C397" s="12" t="str">
        <f ca="1">IFERROR(__xludf.DUMMYFUNCTION("""COMPUTED_VALUE"""),"The Jesus Storybook Bible")</f>
        <v>The Jesus Storybook Bible</v>
      </c>
      <c r="D397" s="12"/>
      <c r="E397" s="12" t="str">
        <f ca="1">IFERROR(__xludf.DUMMYFUNCTION("""COMPUTED_VALUE"""),"Book")</f>
        <v>Book</v>
      </c>
      <c r="F397" s="12" t="str">
        <f ca="1">IFERROR(__xludf.DUMMYFUNCTION("""COMPUTED_VALUE"""),"Children")</f>
        <v>Children</v>
      </c>
      <c r="G397" s="12"/>
      <c r="H397" s="12"/>
      <c r="I397" s="12"/>
      <c r="J397" s="12"/>
      <c r="K397" s="13">
        <f ca="1">IFERROR(__xludf.DUMMYFUNCTION("""COMPUTED_VALUE"""),40674)</f>
        <v>40674</v>
      </c>
      <c r="L397" s="12"/>
      <c r="M397" s="12"/>
      <c r="N397" s="12" t="str">
        <f ca="1">IFERROR(__xludf.DUMMYFUNCTION("""COMPUTED_VALUE"""),"Table1")</f>
        <v>Table1</v>
      </c>
    </row>
    <row r="398" spans="1:14" ht="15.75" customHeight="1" x14ac:dyDescent="0.35">
      <c r="A398" s="12" t="str">
        <f ca="1">IFERROR(__xludf.DUMMYFUNCTION("""COMPUTED_VALUE"""),"Lohr, Nancy")</f>
        <v>Lohr, Nancy</v>
      </c>
      <c r="B398" s="12" t="str">
        <f ca="1">IFERROR(__xludf.DUMMYFUNCTION("""COMPUTED_VALUE""")," Nancy Lohr")</f>
        <v xml:space="preserve"> Nancy Lohr</v>
      </c>
      <c r="C398" s="12" t="str">
        <f ca="1">IFERROR(__xludf.DUMMYFUNCTION("""COMPUTED_VALUE"""),"Songbird")</f>
        <v>Songbird</v>
      </c>
      <c r="D398" s="12"/>
      <c r="E398" s="12" t="str">
        <f ca="1">IFERROR(__xludf.DUMMYFUNCTION("""COMPUTED_VALUE"""),"Book")</f>
        <v>Book</v>
      </c>
      <c r="F398" s="12" t="str">
        <f ca="1">IFERROR(__xludf.DUMMYFUNCTION("""COMPUTED_VALUE"""),"Children")</f>
        <v>Children</v>
      </c>
      <c r="G398" s="12"/>
      <c r="H398" s="12"/>
      <c r="I398" s="12"/>
      <c r="J398" s="12"/>
      <c r="K398" s="13">
        <f ca="1">IFERROR(__xludf.DUMMYFUNCTION("""COMPUTED_VALUE"""),41164)</f>
        <v>41164</v>
      </c>
      <c r="L398" s="12"/>
      <c r="M398" s="12"/>
      <c r="N398" s="12" t="str">
        <f ca="1">IFERROR(__xludf.DUMMYFUNCTION("""COMPUTED_VALUE"""),"Table1")</f>
        <v>Table1</v>
      </c>
    </row>
    <row r="399" spans="1:14" ht="15.75" customHeight="1" x14ac:dyDescent="0.35">
      <c r="A399" s="12" t="str">
        <f ca="1">IFERROR(__xludf.DUMMYFUNCTION("""COMPUTED_VALUE"""),"Lowe, Julie")</f>
        <v>Lowe, Julie</v>
      </c>
      <c r="B399" s="12" t="str">
        <f ca="1">IFERROR(__xludf.DUMMYFUNCTION("""COMPUTED_VALUE""")," Julie Lowe")</f>
        <v xml:space="preserve"> Julie Lowe</v>
      </c>
      <c r="C399" s="12" t="str">
        <f ca="1">IFERROR(__xludf.DUMMYFUNCTION("""COMPUTED_VALUE"""),"Building Bridges: Biblical Counseling Activities for Children &amp; Teens")</f>
        <v>Building Bridges: Biblical Counseling Activities for Children &amp; Teens</v>
      </c>
      <c r="D399" s="12"/>
      <c r="E399" s="12" t="str">
        <f ca="1">IFERROR(__xludf.DUMMYFUNCTION("""COMPUTED_VALUE"""),"Book")</f>
        <v>Book</v>
      </c>
      <c r="F399" s="12" t="str">
        <f ca="1">IFERROR(__xludf.DUMMYFUNCTION("""COMPUTED_VALUE"""),"Understanding Mankind")</f>
        <v>Understanding Mankind</v>
      </c>
      <c r="G399" s="12"/>
      <c r="H399" s="12"/>
      <c r="I399" s="12"/>
      <c r="J399" s="12" t="str">
        <f ca="1">IFERROR(__xludf.DUMMYFUNCTION("""COMPUTED_VALUE"""),"Counseling, Relationships")</f>
        <v>Counseling, Relationships</v>
      </c>
      <c r="K399" s="13">
        <f ca="1">IFERROR(__xludf.DUMMYFUNCTION("""COMPUTED_VALUE"""),43832)</f>
        <v>43832</v>
      </c>
      <c r="L399" s="12"/>
      <c r="M399" s="12"/>
      <c r="N399" s="12" t="str">
        <f ca="1">IFERROR(__xludf.DUMMYFUNCTION("""COMPUTED_VALUE"""),"Table1")</f>
        <v>Table1</v>
      </c>
    </row>
    <row r="400" spans="1:14" ht="15.75" customHeight="1" x14ac:dyDescent="0.35">
      <c r="A400" s="12" t="str">
        <f ca="1">IFERROR(__xludf.DUMMYFUNCTION("""COMPUTED_VALUE"""),"Ludwig, Charles")</f>
        <v>Ludwig, Charles</v>
      </c>
      <c r="B400" s="12" t="str">
        <f ca="1">IFERROR(__xludf.DUMMYFUNCTION("""COMPUTED_VALUE""")," Charles Ludwig")</f>
        <v xml:space="preserve"> Charles Ludwig</v>
      </c>
      <c r="C400" s="12" t="str">
        <f ca="1">IFERROR(__xludf.DUMMYFUNCTION("""COMPUTED_VALUE"""),"Susanna Wesley")</f>
        <v>Susanna Wesley</v>
      </c>
      <c r="D400" s="12"/>
      <c r="E400" s="12" t="str">
        <f ca="1">IFERROR(__xludf.DUMMYFUNCTION("""COMPUTED_VALUE"""),"Book")</f>
        <v>Book</v>
      </c>
      <c r="F400" s="12" t="str">
        <f ca="1">IFERROR(__xludf.DUMMYFUNCTION("""COMPUTED_VALUE"""),"Biography")</f>
        <v>Biography</v>
      </c>
      <c r="G400" s="12"/>
      <c r="H400" s="12"/>
      <c r="I400" s="12"/>
      <c r="J400" s="12"/>
      <c r="K400" s="13">
        <f ca="1">IFERROR(__xludf.DUMMYFUNCTION("""COMPUTED_VALUE"""),40048)</f>
        <v>40048</v>
      </c>
      <c r="L400" s="12"/>
      <c r="M400" s="12"/>
      <c r="N400" s="12" t="str">
        <f ca="1">IFERROR(__xludf.DUMMYFUNCTION("""COMPUTED_VALUE"""),"Table1")</f>
        <v>Table1</v>
      </c>
    </row>
    <row r="401" spans="1:14" ht="15.75" customHeight="1" x14ac:dyDescent="0.35">
      <c r="A401" s="12" t="str">
        <f ca="1">IFERROR(__xludf.DUMMYFUNCTION("""COMPUTED_VALUE"""),"Lundgaard, Kris")</f>
        <v>Lundgaard, Kris</v>
      </c>
      <c r="B401" s="12" t="str">
        <f ca="1">IFERROR(__xludf.DUMMYFUNCTION("""COMPUTED_VALUE""")," Kris Lundgaard")</f>
        <v xml:space="preserve"> Kris Lundgaard</v>
      </c>
      <c r="C401" s="12" t="str">
        <f ca="1">IFERROR(__xludf.DUMMYFUNCTION("""COMPUTED_VALUE"""),"The Enemy Within: Straight Talk about the Power and Defeat of Sin")</f>
        <v>The Enemy Within: Straight Talk about the Power and Defeat of Sin</v>
      </c>
      <c r="D401" s="12"/>
      <c r="E401" s="12" t="str">
        <f ca="1">IFERROR(__xludf.DUMMYFUNCTION("""COMPUTED_VALUE"""),"Book")</f>
        <v>Book</v>
      </c>
      <c r="F401" s="12" t="str">
        <f ca="1">IFERROR(__xludf.DUMMYFUNCTION("""COMPUTED_VALUE"""),"Theology")</f>
        <v>Theology</v>
      </c>
      <c r="G401" s="12" t="str">
        <f ca="1">IFERROR(__xludf.DUMMYFUNCTION("""COMPUTED_VALUE"""),"Discipleship")</f>
        <v>Discipleship</v>
      </c>
      <c r="H401" s="12"/>
      <c r="I401" s="12"/>
      <c r="J401" s="12" t="str">
        <f ca="1">IFERROR(__xludf.DUMMYFUNCTION("""COMPUTED_VALUE"""),"Sin")</f>
        <v>Sin</v>
      </c>
      <c r="K401" s="13">
        <f ca="1">IFERROR(__xludf.DUMMYFUNCTION("""COMPUTED_VALUE"""),40951)</f>
        <v>40951</v>
      </c>
      <c r="L401" s="12"/>
      <c r="M401" s="12"/>
      <c r="N401" s="12" t="str">
        <f ca="1">IFERROR(__xludf.DUMMYFUNCTION("""COMPUTED_VALUE"""),"Table1")</f>
        <v>Table1</v>
      </c>
    </row>
    <row r="402" spans="1:14" ht="15.75" customHeight="1" x14ac:dyDescent="0.35">
      <c r="A402" s="12" t="str">
        <f ca="1">IFERROR(__xludf.DUMMYFUNCTION("""COMPUTED_VALUE"""),"Lupton, Robert D")</f>
        <v>Lupton, Robert D</v>
      </c>
      <c r="B402" s="12" t="str">
        <f ca="1">IFERROR(__xludf.DUMMYFUNCTION("""COMPUTED_VALUE""")," Robert D Lupton")</f>
        <v xml:space="preserve"> Robert D Lupton</v>
      </c>
      <c r="C402" s="12" t="str">
        <f ca="1">IFERROR(__xludf.DUMMYFUNCTION("""COMPUTED_VALUE"""),"Toxic Charity")</f>
        <v>Toxic Charity</v>
      </c>
      <c r="D402" s="12"/>
      <c r="E402" s="12" t="str">
        <f ca="1">IFERROR(__xludf.DUMMYFUNCTION("""COMPUTED_VALUE"""),"Book")</f>
        <v>Book</v>
      </c>
      <c r="F402" s="12" t="str">
        <f ca="1">IFERROR(__xludf.DUMMYFUNCTION("""COMPUTED_VALUE"""),"Understanding Mankind")</f>
        <v>Understanding Mankind</v>
      </c>
      <c r="G402" s="12"/>
      <c r="H402" s="12"/>
      <c r="I402" s="12"/>
      <c r="J402" s="12" t="str">
        <f ca="1">IFERROR(__xludf.DUMMYFUNCTION("""COMPUTED_VALUE"""),"Poverty, Charity")</f>
        <v>Poverty, Charity</v>
      </c>
      <c r="K402" s="13">
        <f ca="1">IFERROR(__xludf.DUMMYFUNCTION("""COMPUTED_VALUE"""),41560)</f>
        <v>41560</v>
      </c>
      <c r="L402" s="12"/>
      <c r="M402" s="12"/>
      <c r="N402" s="12" t="str">
        <f ca="1">IFERROR(__xludf.DUMMYFUNCTION("""COMPUTED_VALUE"""),"Table1")</f>
        <v>Table1</v>
      </c>
    </row>
    <row r="403" spans="1:14" ht="15.75" customHeight="1" x14ac:dyDescent="0.35">
      <c r="A403" s="12" t="str">
        <f ca="1">IFERROR(__xludf.DUMMYFUNCTION("""COMPUTED_VALUE"""),"Lutzer, Erwin W")</f>
        <v>Lutzer, Erwin W</v>
      </c>
      <c r="B403" s="12" t="str">
        <f ca="1">IFERROR(__xludf.DUMMYFUNCTION("""COMPUTED_VALUE""")," Erwin W Lutzer")</f>
        <v xml:space="preserve"> Erwin W Lutzer</v>
      </c>
      <c r="C403" s="12" t="str">
        <f ca="1">IFERROR(__xludf.DUMMYFUNCTION("""COMPUTED_VALUE"""),"10 Lies About God")</f>
        <v>10 Lies About God</v>
      </c>
      <c r="D403" s="12"/>
      <c r="E403" s="12" t="str">
        <f ca="1">IFERROR(__xludf.DUMMYFUNCTION("""COMPUTED_VALUE"""),"Book")</f>
        <v>Book</v>
      </c>
      <c r="F403" s="12" t="str">
        <f ca="1">IFERROR(__xludf.DUMMYFUNCTION("""COMPUTED_VALUE"""),"Theology")</f>
        <v>Theology</v>
      </c>
      <c r="G403" s="12"/>
      <c r="H403" s="12"/>
      <c r="I403" s="12"/>
      <c r="J403" s="12"/>
      <c r="K403" s="13">
        <f ca="1">IFERROR(__xludf.DUMMYFUNCTION("""COMPUTED_VALUE"""),40705)</f>
        <v>40705</v>
      </c>
      <c r="L403" s="12"/>
      <c r="M403" s="12"/>
      <c r="N403" s="12" t="str">
        <f ca="1">IFERROR(__xludf.DUMMYFUNCTION("""COMPUTED_VALUE"""),"Table1")</f>
        <v>Table1</v>
      </c>
    </row>
    <row r="404" spans="1:14" ht="15.75" customHeight="1" x14ac:dyDescent="0.35">
      <c r="A404" s="12" t="str">
        <f ca="1">IFERROR(__xludf.DUMMYFUNCTION("""COMPUTED_VALUE"""),"Lutzer, Erwin W")</f>
        <v>Lutzer, Erwin W</v>
      </c>
      <c r="B404" s="12" t="str">
        <f ca="1">IFERROR(__xludf.DUMMYFUNCTION("""COMPUTED_VALUE""")," Erwin W Lutzer")</f>
        <v xml:space="preserve"> Erwin W Lutzer</v>
      </c>
      <c r="C404" s="12" t="str">
        <f ca="1">IFERROR(__xludf.DUMMYFUNCTION("""COMPUTED_VALUE"""),"Making the Best of a Bad Decision")</f>
        <v>Making the Best of a Bad Decision</v>
      </c>
      <c r="D404" s="12"/>
      <c r="E404" s="12" t="str">
        <f ca="1">IFERROR(__xludf.DUMMYFUNCTION("""COMPUTED_VALUE"""),"Book")</f>
        <v>Book</v>
      </c>
      <c r="F404" s="12" t="str">
        <f ca="1">IFERROR(__xludf.DUMMYFUNCTION("""COMPUTED_VALUE"""),"Understanding Mankind")</f>
        <v>Understanding Mankind</v>
      </c>
      <c r="G404" s="12"/>
      <c r="H404" s="12"/>
      <c r="I404" s="12"/>
      <c r="J404" s="12"/>
      <c r="K404" s="13">
        <f ca="1">IFERROR(__xludf.DUMMYFUNCTION("""COMPUTED_VALUE"""),40858)</f>
        <v>40858</v>
      </c>
      <c r="L404" s="12"/>
      <c r="M404" s="12"/>
      <c r="N404" s="12" t="str">
        <f ca="1">IFERROR(__xludf.DUMMYFUNCTION("""COMPUTED_VALUE"""),"Table1")</f>
        <v>Table1</v>
      </c>
    </row>
    <row r="405" spans="1:14" ht="15.75" customHeight="1" x14ac:dyDescent="0.35">
      <c r="A405" s="12" t="str">
        <f ca="1">IFERROR(__xludf.DUMMYFUNCTION("""COMPUTED_VALUE"""),"Lutzer, Erwin W")</f>
        <v>Lutzer, Erwin W</v>
      </c>
      <c r="B405" s="12" t="str">
        <f ca="1">IFERROR(__xludf.DUMMYFUNCTION("""COMPUTED_VALUE""")," Erwin W Lutzer")</f>
        <v xml:space="preserve"> Erwin W Lutzer</v>
      </c>
      <c r="C405" s="12" t="str">
        <f ca="1">IFERROR(__xludf.DUMMYFUNCTION("""COMPUTED_VALUE"""),"When You've Been Wronged")</f>
        <v>When You've Been Wronged</v>
      </c>
      <c r="D405" s="12"/>
      <c r="E405" s="12" t="str">
        <f ca="1">IFERROR(__xludf.DUMMYFUNCTION("""COMPUTED_VALUE"""),"Book")</f>
        <v>Book</v>
      </c>
      <c r="F405" s="12" t="str">
        <f ca="1">IFERROR(__xludf.DUMMYFUNCTION("""COMPUTED_VALUE"""),"Understanding Mankind")</f>
        <v>Understanding Mankind</v>
      </c>
      <c r="G405" s="12"/>
      <c r="H405" s="12"/>
      <c r="I405" s="12"/>
      <c r="J405" s="12" t="str">
        <f ca="1">IFERROR(__xludf.DUMMYFUNCTION("""COMPUTED_VALUE"""),"Forgiveness")</f>
        <v>Forgiveness</v>
      </c>
      <c r="K405" s="13">
        <f ca="1">IFERROR(__xludf.DUMMYFUNCTION("""COMPUTED_VALUE"""),40049)</f>
        <v>40049</v>
      </c>
      <c r="L405" s="12"/>
      <c r="M405" s="12"/>
      <c r="N405" s="12" t="str">
        <f ca="1">IFERROR(__xludf.DUMMYFUNCTION("""COMPUTED_VALUE"""),"Table1")</f>
        <v>Table1</v>
      </c>
    </row>
    <row r="406" spans="1:14" ht="15.75" customHeight="1" x14ac:dyDescent="0.35">
      <c r="A406" s="12" t="str">
        <f ca="1">IFERROR(__xludf.DUMMYFUNCTION("""COMPUTED_VALUE"""),"MacArthur, John")</f>
        <v>MacArthur, John</v>
      </c>
      <c r="B406" s="12" t="str">
        <f ca="1">IFERROR(__xludf.DUMMYFUNCTION("""COMPUTED_VALUE""")," John MacArthur")</f>
        <v xml:space="preserve"> John MacArthur</v>
      </c>
      <c r="C406" s="12" t="str">
        <f ca="1">IFERROR(__xludf.DUMMYFUNCTION("""COMPUTED_VALUE"""),"Alone With God")</f>
        <v>Alone With God</v>
      </c>
      <c r="D406" s="12"/>
      <c r="E406" s="12" t="str">
        <f ca="1">IFERROR(__xludf.DUMMYFUNCTION("""COMPUTED_VALUE"""),"Book")</f>
        <v>Book</v>
      </c>
      <c r="F406" s="12" t="str">
        <f ca="1">IFERROR(__xludf.DUMMYFUNCTION("""COMPUTED_VALUE"""),"Discipleship")</f>
        <v>Discipleship</v>
      </c>
      <c r="G406" s="12"/>
      <c r="H406" s="12"/>
      <c r="I406" s="12"/>
      <c r="J406" s="12"/>
      <c r="K406" s="13">
        <f ca="1">IFERROR(__xludf.DUMMYFUNCTION("""COMPUTED_VALUE"""),40035)</f>
        <v>40035</v>
      </c>
      <c r="L406" s="12"/>
      <c r="M406" s="12"/>
      <c r="N406" s="12" t="str">
        <f ca="1">IFERROR(__xludf.DUMMYFUNCTION("""COMPUTED_VALUE"""),"Table1")</f>
        <v>Table1</v>
      </c>
    </row>
    <row r="407" spans="1:14" ht="15.75" customHeight="1" x14ac:dyDescent="0.35">
      <c r="A407" s="12" t="str">
        <f ca="1">IFERROR(__xludf.DUMMYFUNCTION("""COMPUTED_VALUE"""),"MacArthur, John")</f>
        <v>MacArthur, John</v>
      </c>
      <c r="B407" s="12" t="str">
        <f ca="1">IFERROR(__xludf.DUMMYFUNCTION("""COMPUTED_VALUE""")," John MacArthur")</f>
        <v xml:space="preserve"> John MacArthur</v>
      </c>
      <c r="C407" s="12" t="str">
        <f ca="1">IFERROR(__xludf.DUMMYFUNCTION("""COMPUTED_VALUE"""),"Anatomy of the Church")</f>
        <v>Anatomy of the Church</v>
      </c>
      <c r="D407" s="12"/>
      <c r="E407" s="12" t="str">
        <f ca="1">IFERROR(__xludf.DUMMYFUNCTION("""COMPUTED_VALUE"""),"Audio")</f>
        <v>Audio</v>
      </c>
      <c r="F407" s="12" t="str">
        <f ca="1">IFERROR(__xludf.DUMMYFUNCTION("""COMPUTED_VALUE"""),"Church")</f>
        <v>Church</v>
      </c>
      <c r="G407" s="12"/>
      <c r="H407" s="12"/>
      <c r="I407" s="12"/>
      <c r="J407" s="12"/>
      <c r="K407" s="13">
        <f ca="1">IFERROR(__xludf.DUMMYFUNCTION("""COMPUTED_VALUE"""),40036)</f>
        <v>40036</v>
      </c>
      <c r="L407" s="12" t="str">
        <f ca="1">IFERROR(__xludf.DUMMYFUNCTION("""COMPUTED_VALUE"""),"Missing as of February 2020")</f>
        <v>Missing as of February 2020</v>
      </c>
      <c r="M407" s="12"/>
      <c r="N407" s="12" t="str">
        <f ca="1">IFERROR(__xludf.DUMMYFUNCTION("""COMPUTED_VALUE"""),"Table1")</f>
        <v>Table1</v>
      </c>
    </row>
    <row r="408" spans="1:14" ht="15.75" customHeight="1" x14ac:dyDescent="0.35">
      <c r="A408" s="12" t="str">
        <f ca="1">IFERROR(__xludf.DUMMYFUNCTION("""COMPUTED_VALUE"""),"MacArthur, John")</f>
        <v>MacArthur, John</v>
      </c>
      <c r="B408" s="12" t="str">
        <f ca="1">IFERROR(__xludf.DUMMYFUNCTION("""COMPUTED_VALUE""")," John MacArthur")</f>
        <v xml:space="preserve"> John MacArthur</v>
      </c>
      <c r="C408" s="12" t="str">
        <f ca="1">IFERROR(__xludf.DUMMYFUNCTION("""COMPUTED_VALUE"""),"Because the Time is Near: John MacArthur Explains the Book of Revelation")</f>
        <v>Because the Time is Near: John MacArthur Explains the Book of Revelation</v>
      </c>
      <c r="D408" s="12"/>
      <c r="E408" s="12" t="str">
        <f ca="1">IFERROR(__xludf.DUMMYFUNCTION("""COMPUTED_VALUE"""),"Book")</f>
        <v>Book</v>
      </c>
      <c r="F408" s="12" t="str">
        <f ca="1">IFERROR(__xludf.DUMMYFUNCTION("""COMPUTED_VALUE"""),"Bible")</f>
        <v>Bible</v>
      </c>
      <c r="G408" s="12"/>
      <c r="H408" s="12"/>
      <c r="I408" s="12"/>
      <c r="J408" s="12"/>
      <c r="K408" s="13">
        <f ca="1">IFERROR(__xludf.DUMMYFUNCTION("""COMPUTED_VALUE"""),40037)</f>
        <v>40037</v>
      </c>
      <c r="L408" s="12"/>
      <c r="M408" s="12"/>
      <c r="N408" s="12" t="str">
        <f ca="1">IFERROR(__xludf.DUMMYFUNCTION("""COMPUTED_VALUE"""),"Table1")</f>
        <v>Table1</v>
      </c>
    </row>
    <row r="409" spans="1:14" ht="15.75" customHeight="1" x14ac:dyDescent="0.35">
      <c r="A409" s="12" t="str">
        <f ca="1">IFERROR(__xludf.DUMMYFUNCTION("""COMPUTED_VALUE"""),"MacArthur, John")</f>
        <v>MacArthur, John</v>
      </c>
      <c r="B409" s="12" t="str">
        <f ca="1">IFERROR(__xludf.DUMMYFUNCTION("""COMPUTED_VALUE""")," John MacArthur")</f>
        <v xml:space="preserve"> John MacArthur</v>
      </c>
      <c r="C409" s="12" t="str">
        <f ca="1">IFERROR(__xludf.DUMMYFUNCTION("""COMPUTED_VALUE"""),"Different by Design: Discovering God's Will for Today's Man and Woman ")</f>
        <v xml:space="preserve">Different by Design: Discovering God's Will for Today's Man and Woman </v>
      </c>
      <c r="D409" s="12"/>
      <c r="E409" s="12" t="str">
        <f ca="1">IFERROR(__xludf.DUMMYFUNCTION("""COMPUTED_VALUE"""),"Book")</f>
        <v>Book</v>
      </c>
      <c r="F409" s="12" t="str">
        <f ca="1">IFERROR(__xludf.DUMMYFUNCTION("""COMPUTED_VALUE"""),"Understanding Mankind")</f>
        <v>Understanding Mankind</v>
      </c>
      <c r="G409" s="12"/>
      <c r="H409" s="12"/>
      <c r="I409" s="12"/>
      <c r="J409" s="12" t="str">
        <f ca="1">IFERROR(__xludf.DUMMYFUNCTION("""COMPUTED_VALUE"""),"Gender Roles")</f>
        <v>Gender Roles</v>
      </c>
      <c r="K409" s="13">
        <f ca="1">IFERROR(__xludf.DUMMYFUNCTION("""COMPUTED_VALUE"""),43040)</f>
        <v>43040</v>
      </c>
      <c r="L409" s="12"/>
      <c r="M409" s="12"/>
      <c r="N409" s="12" t="str">
        <f ca="1">IFERROR(__xludf.DUMMYFUNCTION("""COMPUTED_VALUE"""),"Table1")</f>
        <v>Table1</v>
      </c>
    </row>
    <row r="410" spans="1:14" ht="15.75" customHeight="1" x14ac:dyDescent="0.35">
      <c r="A410" s="12" t="str">
        <f ca="1">IFERROR(__xludf.DUMMYFUNCTION("""COMPUTED_VALUE"""),"MacArthur, John")</f>
        <v>MacArthur, John</v>
      </c>
      <c r="B410" s="12" t="str">
        <f ca="1">IFERROR(__xludf.DUMMYFUNCTION("""COMPUTED_VALUE""")," John MacArthur")</f>
        <v xml:space="preserve"> John MacArthur</v>
      </c>
      <c r="C410" s="12" t="str">
        <f ca="1">IFERROR(__xludf.DUMMYFUNCTION("""COMPUTED_VALUE"""),"Faith Works: The Gospel According to the Apostles")</f>
        <v>Faith Works: The Gospel According to the Apostles</v>
      </c>
      <c r="D410" s="12"/>
      <c r="E410" s="12" t="str">
        <f ca="1">IFERROR(__xludf.DUMMYFUNCTION("""COMPUTED_VALUE"""),"Book")</f>
        <v>Book</v>
      </c>
      <c r="F410" s="12" t="str">
        <f ca="1">IFERROR(__xludf.DUMMYFUNCTION("""COMPUTED_VALUE"""),"Salvation")</f>
        <v>Salvation</v>
      </c>
      <c r="G410" s="12"/>
      <c r="H410" s="12"/>
      <c r="I410" s="12"/>
      <c r="J410" s="12"/>
      <c r="K410" s="13">
        <f ca="1">IFERROR(__xludf.DUMMYFUNCTION("""COMPUTED_VALUE"""),40038)</f>
        <v>40038</v>
      </c>
      <c r="L410" s="12"/>
      <c r="M410" s="12"/>
      <c r="N410" s="12" t="str">
        <f ca="1">IFERROR(__xludf.DUMMYFUNCTION("""COMPUTED_VALUE"""),"Table1")</f>
        <v>Table1</v>
      </c>
    </row>
    <row r="411" spans="1:14" ht="15.75" customHeight="1" x14ac:dyDescent="0.35">
      <c r="A411" s="12" t="str">
        <f ca="1">IFERROR(__xludf.DUMMYFUNCTION("""COMPUTED_VALUE"""),"MacArthur, John")</f>
        <v>MacArthur, John</v>
      </c>
      <c r="B411" s="12" t="str">
        <f ca="1">IFERROR(__xludf.DUMMYFUNCTION("""COMPUTED_VALUE""")," John MacArthur")</f>
        <v xml:space="preserve"> John MacArthur</v>
      </c>
      <c r="C411" s="12" t="str">
        <f ca="1">IFERROR(__xludf.DUMMYFUNCTION("""COMPUTED_VALUE"""),"The Freedom and Power of Forgiveness")</f>
        <v>The Freedom and Power of Forgiveness</v>
      </c>
      <c r="D411" s="12"/>
      <c r="E411" s="12" t="str">
        <f ca="1">IFERROR(__xludf.DUMMYFUNCTION("""COMPUTED_VALUE"""),"Book")</f>
        <v>Book</v>
      </c>
      <c r="F411" s="12" t="str">
        <f ca="1">IFERROR(__xludf.DUMMYFUNCTION("""COMPUTED_VALUE"""),"Understanding Mankind")</f>
        <v>Understanding Mankind</v>
      </c>
      <c r="G411" s="12"/>
      <c r="H411" s="12"/>
      <c r="I411" s="12"/>
      <c r="J411" s="12" t="str">
        <f ca="1">IFERROR(__xludf.DUMMYFUNCTION("""COMPUTED_VALUE"""),"Forgiveness")</f>
        <v>Forgiveness</v>
      </c>
      <c r="K411" s="13">
        <f ca="1">IFERROR(__xludf.DUMMYFUNCTION("""COMPUTED_VALUE"""),41102)</f>
        <v>41102</v>
      </c>
      <c r="L411" s="12"/>
      <c r="M411" s="12"/>
      <c r="N411" s="12" t="str">
        <f ca="1">IFERROR(__xludf.DUMMYFUNCTION("""COMPUTED_VALUE"""),"Table1")</f>
        <v>Table1</v>
      </c>
    </row>
    <row r="412" spans="1:14" ht="15.75" customHeight="1" x14ac:dyDescent="0.35">
      <c r="A412" s="12" t="str">
        <f ca="1">IFERROR(__xludf.DUMMYFUNCTION("""COMPUTED_VALUE"""),"MacArthur, John")</f>
        <v>MacArthur, John</v>
      </c>
      <c r="B412" s="12" t="str">
        <f ca="1">IFERROR(__xludf.DUMMYFUNCTION("""COMPUTED_VALUE""")," John MacArthur")</f>
        <v xml:space="preserve"> John MacArthur</v>
      </c>
      <c r="C412" s="12" t="str">
        <f ca="1">IFERROR(__xludf.DUMMYFUNCTION("""COMPUTED_VALUE"""),"The Fulfilled Family")</f>
        <v>The Fulfilled Family</v>
      </c>
      <c r="D412" s="12"/>
      <c r="E412" s="12" t="str">
        <f ca="1">IFERROR(__xludf.DUMMYFUNCTION("""COMPUTED_VALUE"""),"Audio")</f>
        <v>Audio</v>
      </c>
      <c r="F412" s="12" t="str">
        <f ca="1">IFERROR(__xludf.DUMMYFUNCTION("""COMPUTED_VALUE"""),"Understanding Mankind")</f>
        <v>Understanding Mankind</v>
      </c>
      <c r="G412" s="12"/>
      <c r="H412" s="12"/>
      <c r="I412" s="12"/>
      <c r="J412" s="12" t="str">
        <f ca="1">IFERROR(__xludf.DUMMYFUNCTION("""COMPUTED_VALUE"""),"Family")</f>
        <v>Family</v>
      </c>
      <c r="K412" s="13">
        <f ca="1">IFERROR(__xludf.DUMMYFUNCTION("""COMPUTED_VALUE"""),40039)</f>
        <v>40039</v>
      </c>
      <c r="L412" s="12" t="str">
        <f ca="1">IFERROR(__xludf.DUMMYFUNCTION("""COMPUTED_VALUE"""),"Missing as of February 2020")</f>
        <v>Missing as of February 2020</v>
      </c>
      <c r="M412" s="12"/>
      <c r="N412" s="12" t="str">
        <f ca="1">IFERROR(__xludf.DUMMYFUNCTION("""COMPUTED_VALUE"""),"Table1")</f>
        <v>Table1</v>
      </c>
    </row>
    <row r="413" spans="1:14" ht="15.75" customHeight="1" x14ac:dyDescent="0.35">
      <c r="A413" s="12" t="str">
        <f ca="1">IFERROR(__xludf.DUMMYFUNCTION("""COMPUTED_VALUE"""),"MacArthur, John")</f>
        <v>MacArthur, John</v>
      </c>
      <c r="B413" s="12" t="str">
        <f ca="1">IFERROR(__xludf.DUMMYFUNCTION("""COMPUTED_VALUE""")," John MacArthur")</f>
        <v xml:space="preserve"> John MacArthur</v>
      </c>
      <c r="C413" s="12" t="str">
        <f ca="1">IFERROR(__xludf.DUMMYFUNCTION("""COMPUTED_VALUE"""),"The Gospel According to Jesus")</f>
        <v>The Gospel According to Jesus</v>
      </c>
      <c r="D413" s="12"/>
      <c r="E413" s="12" t="str">
        <f ca="1">IFERROR(__xludf.DUMMYFUNCTION("""COMPUTED_VALUE"""),"Book")</f>
        <v>Book</v>
      </c>
      <c r="F413" s="12" t="str">
        <f ca="1">IFERROR(__xludf.DUMMYFUNCTION("""COMPUTED_VALUE"""),"Salvation")</f>
        <v>Salvation</v>
      </c>
      <c r="G413" s="12"/>
      <c r="H413" s="12"/>
      <c r="I413" s="12"/>
      <c r="J413" s="12"/>
      <c r="K413" s="13">
        <f ca="1">IFERROR(__xludf.DUMMYFUNCTION("""COMPUTED_VALUE"""),40040)</f>
        <v>40040</v>
      </c>
      <c r="L413" s="12"/>
      <c r="M413" s="12"/>
      <c r="N413" s="12" t="str">
        <f ca="1">IFERROR(__xludf.DUMMYFUNCTION("""COMPUTED_VALUE"""),"Table1")</f>
        <v>Table1</v>
      </c>
    </row>
    <row r="414" spans="1:14" ht="15.75" customHeight="1" x14ac:dyDescent="0.35">
      <c r="A414" s="12" t="str">
        <f ca="1">IFERROR(__xludf.DUMMYFUNCTION("""COMPUTED_VALUE"""),"MacArthur, John")</f>
        <v>MacArthur, John</v>
      </c>
      <c r="B414" s="12" t="str">
        <f ca="1">IFERROR(__xludf.DUMMYFUNCTION("""COMPUTED_VALUE""")," John MacArthur")</f>
        <v xml:space="preserve"> John MacArthur</v>
      </c>
      <c r="C414" s="12" t="str">
        <f ca="1">IFERROR(__xludf.DUMMYFUNCTION("""COMPUTED_VALUE"""),"How to Meet the Enemy")</f>
        <v>How to Meet the Enemy</v>
      </c>
      <c r="D414" s="12"/>
      <c r="E414" s="12" t="str">
        <f ca="1">IFERROR(__xludf.DUMMYFUNCTION("""COMPUTED_VALUE"""),"Book")</f>
        <v>Book</v>
      </c>
      <c r="F414" s="12" t="str">
        <f ca="1">IFERROR(__xludf.DUMMYFUNCTION("""COMPUTED_VALUE"""),"Discipleship")</f>
        <v>Discipleship</v>
      </c>
      <c r="G414" s="12"/>
      <c r="H414" s="12"/>
      <c r="I414" s="12"/>
      <c r="J414" s="12" t="str">
        <f ca="1">IFERROR(__xludf.DUMMYFUNCTION("""COMPUTED_VALUE"""),"Warfare")</f>
        <v>Warfare</v>
      </c>
      <c r="K414" s="13">
        <f ca="1">IFERROR(__xludf.DUMMYFUNCTION("""COMPUTED_VALUE"""),40041)</f>
        <v>40041</v>
      </c>
      <c r="L414" s="12"/>
      <c r="M414" s="12"/>
      <c r="N414" s="12" t="str">
        <f ca="1">IFERROR(__xludf.DUMMYFUNCTION("""COMPUTED_VALUE"""),"Table1")</f>
        <v>Table1</v>
      </c>
    </row>
    <row r="415" spans="1:14" ht="15.75" customHeight="1" x14ac:dyDescent="0.35">
      <c r="A415" s="12" t="str">
        <f ca="1">IFERROR(__xludf.DUMMYFUNCTION("""COMPUTED_VALUE"""),"MacArthur, John")</f>
        <v>MacArthur, John</v>
      </c>
      <c r="B415" s="12" t="str">
        <f ca="1">IFERROR(__xludf.DUMMYFUNCTION("""COMPUTED_VALUE""")," John MacArthur")</f>
        <v xml:space="preserve"> John MacArthur</v>
      </c>
      <c r="C415" s="12" t="str">
        <f ca="1">IFERROR(__xludf.DUMMYFUNCTION("""COMPUTED_VALUE"""),"The Jesus You Can't Ignore")</f>
        <v>The Jesus You Can't Ignore</v>
      </c>
      <c r="D415" s="12"/>
      <c r="E415" s="12" t="str">
        <f ca="1">IFERROR(__xludf.DUMMYFUNCTION("""COMPUTED_VALUE"""),"Book")</f>
        <v>Book</v>
      </c>
      <c r="F415" s="12" t="str">
        <f ca="1">IFERROR(__xludf.DUMMYFUNCTION("""COMPUTED_VALUE"""),"Discipleship")</f>
        <v>Discipleship</v>
      </c>
      <c r="G415" s="12"/>
      <c r="H415" s="12"/>
      <c r="I415" s="12"/>
      <c r="J415" s="12"/>
      <c r="K415" s="13">
        <f ca="1">IFERROR(__xludf.DUMMYFUNCTION("""COMPUTED_VALUE"""),40095)</f>
        <v>40095</v>
      </c>
      <c r="L415" s="12"/>
      <c r="M415" s="12"/>
      <c r="N415" s="12" t="str">
        <f ca="1">IFERROR(__xludf.DUMMYFUNCTION("""COMPUTED_VALUE"""),"Table1")</f>
        <v>Table1</v>
      </c>
    </row>
    <row r="416" spans="1:14" ht="15.75" customHeight="1" x14ac:dyDescent="0.35">
      <c r="A416" s="12" t="str">
        <f ca="1">IFERROR(__xludf.DUMMYFUNCTION("""COMPUTED_VALUE"""),"MacArthur, John")</f>
        <v>MacArthur, John</v>
      </c>
      <c r="B416" s="12" t="str">
        <f ca="1">IFERROR(__xludf.DUMMYFUNCTION("""COMPUTED_VALUE""")," John MacArthur")</f>
        <v xml:space="preserve"> John MacArthur</v>
      </c>
      <c r="C416" s="12" t="str">
        <f ca="1">IFERROR(__xludf.DUMMYFUNCTION("""COMPUTED_VALUE"""),"The Master's Plan for the Church")</f>
        <v>The Master's Plan for the Church</v>
      </c>
      <c r="D416" s="12"/>
      <c r="E416" s="12" t="str">
        <f ca="1">IFERROR(__xludf.DUMMYFUNCTION("""COMPUTED_VALUE"""),"Book")</f>
        <v>Book</v>
      </c>
      <c r="F416" s="12" t="str">
        <f ca="1">IFERROR(__xludf.DUMMYFUNCTION("""COMPUTED_VALUE"""),"Church")</f>
        <v>Church</v>
      </c>
      <c r="G416" s="12"/>
      <c r="H416" s="12"/>
      <c r="I416" s="12"/>
      <c r="J416" s="12"/>
      <c r="K416" s="13">
        <f ca="1">IFERROR(__xludf.DUMMYFUNCTION("""COMPUTED_VALUE"""),40042)</f>
        <v>40042</v>
      </c>
      <c r="L416" s="12"/>
      <c r="M416" s="12"/>
      <c r="N416" s="12" t="str">
        <f ca="1">IFERROR(__xludf.DUMMYFUNCTION("""COMPUTED_VALUE"""),"Table1")</f>
        <v>Table1</v>
      </c>
    </row>
    <row r="417" spans="1:14" ht="15.75" customHeight="1" x14ac:dyDescent="0.35">
      <c r="A417" s="12" t="str">
        <f ca="1">IFERROR(__xludf.DUMMYFUNCTION("""COMPUTED_VALUE"""),"MacArthur, John")</f>
        <v>MacArthur, John</v>
      </c>
      <c r="B417" s="12" t="str">
        <f ca="1">IFERROR(__xludf.DUMMYFUNCTION("""COMPUTED_VALUE""")," John MacArthur")</f>
        <v xml:space="preserve"> John MacArthur</v>
      </c>
      <c r="C417" s="12" t="str">
        <f ca="1">IFERROR(__xludf.DUMMYFUNCTION("""COMPUTED_VALUE"""),"The Murder of Jesus")</f>
        <v>The Murder of Jesus</v>
      </c>
      <c r="D417" s="12"/>
      <c r="E417" s="12" t="str">
        <f ca="1">IFERROR(__xludf.DUMMYFUNCTION("""COMPUTED_VALUE"""),"Book")</f>
        <v>Book</v>
      </c>
      <c r="F417" s="12" t="str">
        <f ca="1">IFERROR(__xludf.DUMMYFUNCTION("""COMPUTED_VALUE"""),"Theology")</f>
        <v>Theology</v>
      </c>
      <c r="G417" s="12"/>
      <c r="H417" s="12"/>
      <c r="I417" s="12"/>
      <c r="J417" s="12"/>
      <c r="K417" s="13">
        <f ca="1">IFERROR(__xludf.DUMMYFUNCTION("""COMPUTED_VALUE"""),40043)</f>
        <v>40043</v>
      </c>
      <c r="L417" s="12"/>
      <c r="M417" s="12"/>
      <c r="N417" s="12" t="str">
        <f ca="1">IFERROR(__xludf.DUMMYFUNCTION("""COMPUTED_VALUE"""),"Table1")</f>
        <v>Table1</v>
      </c>
    </row>
    <row r="418" spans="1:14" ht="15.75" customHeight="1" x14ac:dyDescent="0.35">
      <c r="A418" s="12" t="str">
        <f ca="1">IFERROR(__xludf.DUMMYFUNCTION("""COMPUTED_VALUE"""),"MacArthur, John")</f>
        <v>MacArthur, John</v>
      </c>
      <c r="B418" s="12" t="str">
        <f ca="1">IFERROR(__xludf.DUMMYFUNCTION("""COMPUTED_VALUE""")," John MacArthur")</f>
        <v xml:space="preserve"> John MacArthur</v>
      </c>
      <c r="C418" s="12" t="str">
        <f ca="1">IFERROR(__xludf.DUMMYFUNCTION("""COMPUTED_VALUE"""),"Our Sufficiency in Christ")</f>
        <v>Our Sufficiency in Christ</v>
      </c>
      <c r="D418" s="12"/>
      <c r="E418" s="12" t="str">
        <f ca="1">IFERROR(__xludf.DUMMYFUNCTION("""COMPUTED_VALUE"""),"Book")</f>
        <v>Book</v>
      </c>
      <c r="F418" s="12" t="str">
        <f ca="1">IFERROR(__xludf.DUMMYFUNCTION("""COMPUTED_VALUE"""),"Theology")</f>
        <v>Theology</v>
      </c>
      <c r="G418" s="12"/>
      <c r="H418" s="12"/>
      <c r="I418" s="12"/>
      <c r="J418" s="12"/>
      <c r="K418" s="13">
        <f ca="1">IFERROR(__xludf.DUMMYFUNCTION("""COMPUTED_VALUE"""),40044)</f>
        <v>40044</v>
      </c>
      <c r="L418" s="12"/>
      <c r="M418" s="12"/>
      <c r="N418" s="12" t="str">
        <f ca="1">IFERROR(__xludf.DUMMYFUNCTION("""COMPUTED_VALUE"""),"Table1")</f>
        <v>Table1</v>
      </c>
    </row>
    <row r="419" spans="1:14" ht="15.75" customHeight="1" x14ac:dyDescent="0.35">
      <c r="A419" s="12" t="str">
        <f ca="1">IFERROR(__xludf.DUMMYFUNCTION("""COMPUTED_VALUE"""),"MacArthur, John")</f>
        <v>MacArthur, John</v>
      </c>
      <c r="B419" s="12" t="str">
        <f ca="1">IFERROR(__xludf.DUMMYFUNCTION("""COMPUTED_VALUE""")," John MacArthur")</f>
        <v xml:space="preserve"> John MacArthur</v>
      </c>
      <c r="C419" s="12" t="str">
        <f ca="1">IFERROR(__xludf.DUMMYFUNCTION("""COMPUTED_VALUE"""),"Pillars of Christian Character (replaced 5/14)")</f>
        <v>Pillars of Christian Character (replaced 5/14)</v>
      </c>
      <c r="D419" s="12"/>
      <c r="E419" s="12" t="str">
        <f ca="1">IFERROR(__xludf.DUMMYFUNCTION("""COMPUTED_VALUE"""),"Book")</f>
        <v>Book</v>
      </c>
      <c r="F419" s="12" t="str">
        <f ca="1">IFERROR(__xludf.DUMMYFUNCTION("""COMPUTED_VALUE"""),"Discipleship")</f>
        <v>Discipleship</v>
      </c>
      <c r="G419" s="12"/>
      <c r="H419" s="12"/>
      <c r="I419" s="12"/>
      <c r="J419" s="12"/>
      <c r="K419" s="13">
        <f ca="1">IFERROR(__xludf.DUMMYFUNCTION("""COMPUTED_VALUE"""),39209)</f>
        <v>39209</v>
      </c>
      <c r="L419" s="12"/>
      <c r="M419" s="12"/>
      <c r="N419" s="12" t="str">
        <f ca="1">IFERROR(__xludf.DUMMYFUNCTION("""COMPUTED_VALUE"""),"Table1")</f>
        <v>Table1</v>
      </c>
    </row>
    <row r="420" spans="1:14" ht="15.75" customHeight="1" x14ac:dyDescent="0.35">
      <c r="A420" s="12" t="str">
        <f ca="1">IFERROR(__xludf.DUMMYFUNCTION("""COMPUTED_VALUE"""),"MacArthur, John")</f>
        <v>MacArthur, John</v>
      </c>
      <c r="B420" s="12" t="str">
        <f ca="1">IFERROR(__xludf.DUMMYFUNCTION("""COMPUTED_VALUE""")," John MacArthur")</f>
        <v xml:space="preserve"> John MacArthur</v>
      </c>
      <c r="C420" s="12" t="str">
        <f ca="1">IFERROR(__xludf.DUMMYFUNCTION("""COMPUTED_VALUE"""),"The Quest for Character")</f>
        <v>The Quest for Character</v>
      </c>
      <c r="D420" s="12"/>
      <c r="E420" s="12" t="str">
        <f ca="1">IFERROR(__xludf.DUMMYFUNCTION("""COMPUTED_VALUE"""),"Book")</f>
        <v>Book</v>
      </c>
      <c r="F420" s="12" t="str">
        <f ca="1">IFERROR(__xludf.DUMMYFUNCTION("""COMPUTED_VALUE"""),"Discipleship")</f>
        <v>Discipleship</v>
      </c>
      <c r="G420" s="12"/>
      <c r="H420" s="12"/>
      <c r="I420" s="12"/>
      <c r="J420" s="12"/>
      <c r="K420" s="13">
        <f ca="1">IFERROR(__xludf.DUMMYFUNCTION("""COMPUTED_VALUE"""),40045)</f>
        <v>40045</v>
      </c>
      <c r="L420" s="12"/>
      <c r="M420" s="12"/>
      <c r="N420" s="12" t="str">
        <f ca="1">IFERROR(__xludf.DUMMYFUNCTION("""COMPUTED_VALUE"""),"Table1")</f>
        <v>Table1</v>
      </c>
    </row>
    <row r="421" spans="1:14" ht="15.75" customHeight="1" x14ac:dyDescent="0.35">
      <c r="A421" s="12" t="str">
        <f ca="1">IFERROR(__xludf.DUMMYFUNCTION("""COMPUTED_VALUE"""),"MacArthur, John")</f>
        <v>MacArthur, John</v>
      </c>
      <c r="B421" s="12" t="str">
        <f ca="1">IFERROR(__xludf.DUMMYFUNCTION("""COMPUTED_VALUE""")," John MacArthur")</f>
        <v xml:space="preserve"> John MacArthur</v>
      </c>
      <c r="C421" s="12" t="str">
        <f ca="1">IFERROR(__xludf.DUMMYFUNCTION("""COMPUTED_VALUE"""),"Rediscovering Pastoral Ministry")</f>
        <v>Rediscovering Pastoral Ministry</v>
      </c>
      <c r="D421" s="12"/>
      <c r="E421" s="12" t="str">
        <f ca="1">IFERROR(__xludf.DUMMYFUNCTION("""COMPUTED_VALUE"""),"Book")</f>
        <v>Book</v>
      </c>
      <c r="F421" s="12" t="str">
        <f ca="1">IFERROR(__xludf.DUMMYFUNCTION("""COMPUTED_VALUE"""),"Church")</f>
        <v>Church</v>
      </c>
      <c r="G421" s="12"/>
      <c r="H421" s="12"/>
      <c r="I421" s="12"/>
      <c r="J421" s="12" t="str">
        <f ca="1">IFERROR(__xludf.DUMMYFUNCTION("""COMPUTED_VALUE"""),"Church Leaders")</f>
        <v>Church Leaders</v>
      </c>
      <c r="K421" s="13">
        <f ca="1">IFERROR(__xludf.DUMMYFUNCTION("""COMPUTED_VALUE"""),40046)</f>
        <v>40046</v>
      </c>
      <c r="L421" s="12"/>
      <c r="M421" s="12"/>
      <c r="N421" s="12" t="str">
        <f ca="1">IFERROR(__xludf.DUMMYFUNCTION("""COMPUTED_VALUE"""),"Table1")</f>
        <v>Table1</v>
      </c>
    </row>
    <row r="422" spans="1:14" ht="15.75" customHeight="1" x14ac:dyDescent="0.35">
      <c r="A422" s="12" t="str">
        <f ca="1">IFERROR(__xludf.DUMMYFUNCTION("""COMPUTED_VALUE"""),"MacArthur, John")</f>
        <v>MacArthur, John</v>
      </c>
      <c r="B422" s="12" t="str">
        <f ca="1">IFERROR(__xludf.DUMMYFUNCTION("""COMPUTED_VALUE""")," John MacArthur")</f>
        <v xml:space="preserve"> John MacArthur</v>
      </c>
      <c r="C422" s="12" t="str">
        <f ca="1">IFERROR(__xludf.DUMMYFUNCTION("""COMPUTED_VALUE"""),"The Scripture Cannot Be Broken: Twentieth Century Writings on the Doctrine of Inerrancy")</f>
        <v>The Scripture Cannot Be Broken: Twentieth Century Writings on the Doctrine of Inerrancy</v>
      </c>
      <c r="D422" s="12"/>
      <c r="E422" s="12" t="str">
        <f ca="1">IFERROR(__xludf.DUMMYFUNCTION("""COMPUTED_VALUE"""),"Book")</f>
        <v>Book</v>
      </c>
      <c r="F422" s="12" t="str">
        <f ca="1">IFERROR(__xludf.DUMMYFUNCTION("""COMPUTED_VALUE"""),"Theology")</f>
        <v>Theology</v>
      </c>
      <c r="G422" s="12" t="str">
        <f ca="1">IFERROR(__xludf.DUMMYFUNCTION("""COMPUTED_VALUE"""),"Bible")</f>
        <v>Bible</v>
      </c>
      <c r="H422" s="12"/>
      <c r="I422" s="12"/>
      <c r="J422" s="12"/>
      <c r="K422" s="13">
        <f ca="1">IFERROR(__xludf.DUMMYFUNCTION("""COMPUTED_VALUE"""),42511)</f>
        <v>42511</v>
      </c>
      <c r="L422" s="12"/>
      <c r="M422" s="12"/>
      <c r="N422" s="12" t="str">
        <f ca="1">IFERROR(__xludf.DUMMYFUNCTION("""COMPUTED_VALUE"""),"Table1")</f>
        <v>Table1</v>
      </c>
    </row>
    <row r="423" spans="1:14" ht="15.75" customHeight="1" x14ac:dyDescent="0.35">
      <c r="A423" s="12" t="str">
        <f ca="1">IFERROR(__xludf.DUMMYFUNCTION("""COMPUTED_VALUE"""),"MacArthur, John")</f>
        <v>MacArthur, John</v>
      </c>
      <c r="B423" s="12" t="str">
        <f ca="1">IFERROR(__xludf.DUMMYFUNCTION("""COMPUTED_VALUE""")," John MacArthur")</f>
        <v xml:space="preserve"> John MacArthur</v>
      </c>
      <c r="C423" s="12" t="str">
        <f ca="1">IFERROR(__xludf.DUMMYFUNCTION("""COMPUTED_VALUE"""),"The Second Coming")</f>
        <v>The Second Coming</v>
      </c>
      <c r="D423" s="12"/>
      <c r="E423" s="12" t="str">
        <f ca="1">IFERROR(__xludf.DUMMYFUNCTION("""COMPUTED_VALUE"""),"Book")</f>
        <v>Book</v>
      </c>
      <c r="F423" s="12" t="str">
        <f ca="1">IFERROR(__xludf.DUMMYFUNCTION("""COMPUTED_VALUE"""),"Eschatology")</f>
        <v>Eschatology</v>
      </c>
      <c r="G423" s="12"/>
      <c r="H423" s="12"/>
      <c r="I423" s="12"/>
      <c r="J423" s="12"/>
      <c r="K423" s="13">
        <f ca="1">IFERROR(__xludf.DUMMYFUNCTION("""COMPUTED_VALUE"""),40047)</f>
        <v>40047</v>
      </c>
      <c r="L423" s="12"/>
      <c r="M423" s="12"/>
      <c r="N423" s="12" t="str">
        <f ca="1">IFERROR(__xludf.DUMMYFUNCTION("""COMPUTED_VALUE"""),"Table1")</f>
        <v>Table1</v>
      </c>
    </row>
    <row r="424" spans="1:14" ht="15.75" customHeight="1" x14ac:dyDescent="0.35">
      <c r="A424" s="12" t="str">
        <f ca="1">IFERROR(__xludf.DUMMYFUNCTION("""COMPUTED_VALUE"""),"MacArthur, John")</f>
        <v>MacArthur, John</v>
      </c>
      <c r="B424" s="12" t="str">
        <f ca="1">IFERROR(__xludf.DUMMYFUNCTION("""COMPUTED_VALUE""")," John MacArthur")</f>
        <v xml:space="preserve"> John MacArthur</v>
      </c>
      <c r="C424" s="12" t="str">
        <f ca="1">IFERROR(__xludf.DUMMYFUNCTION("""COMPUTED_VALUE"""),"Slave")</f>
        <v>Slave</v>
      </c>
      <c r="D424" s="12"/>
      <c r="E424" s="12" t="str">
        <f ca="1">IFERROR(__xludf.DUMMYFUNCTION("""COMPUTED_VALUE"""),"Book")</f>
        <v>Book</v>
      </c>
      <c r="F424" s="12" t="str">
        <f ca="1">IFERROR(__xludf.DUMMYFUNCTION("""COMPUTED_VALUE"""),"Discipleship")</f>
        <v>Discipleship</v>
      </c>
      <c r="G424" s="12"/>
      <c r="H424" s="12"/>
      <c r="I424" s="12"/>
      <c r="J424" s="12"/>
      <c r="K424" s="13"/>
      <c r="L424" s="12"/>
      <c r="M424" s="12"/>
      <c r="N424" s="12" t="str">
        <f ca="1">IFERROR(__xludf.DUMMYFUNCTION("""COMPUTED_VALUE"""),"Table1")</f>
        <v>Table1</v>
      </c>
    </row>
    <row r="425" spans="1:14" ht="15.75" customHeight="1" x14ac:dyDescent="0.35">
      <c r="A425" s="12" t="str">
        <f ca="1">IFERROR(__xludf.DUMMYFUNCTION("""COMPUTED_VALUE"""),"MacArthur, John")</f>
        <v>MacArthur, John</v>
      </c>
      <c r="B425" s="12" t="str">
        <f ca="1">IFERROR(__xludf.DUMMYFUNCTION("""COMPUTED_VALUE""")," John MacArthur")</f>
        <v xml:space="preserve"> John MacArthur</v>
      </c>
      <c r="C425" s="12" t="str">
        <f ca="1">IFERROR(__xludf.DUMMYFUNCTION("""COMPUTED_VALUE"""),"Truth Matters")</f>
        <v>Truth Matters</v>
      </c>
      <c r="D425" s="12"/>
      <c r="E425" s="12" t="str">
        <f ca="1">IFERROR(__xludf.DUMMYFUNCTION("""COMPUTED_VALUE"""),"Book")</f>
        <v>Book</v>
      </c>
      <c r="F425" s="12" t="str">
        <f ca="1">IFERROR(__xludf.DUMMYFUNCTION("""COMPUTED_VALUE"""),"Discipleship")</f>
        <v>Discipleship</v>
      </c>
      <c r="G425" s="12"/>
      <c r="H425" s="12"/>
      <c r="I425" s="12"/>
      <c r="J425" s="12"/>
      <c r="K425" s="13">
        <f ca="1">IFERROR(__xludf.DUMMYFUNCTION("""COMPUTED_VALUE"""),40048)</f>
        <v>40048</v>
      </c>
      <c r="L425" s="12"/>
      <c r="M425" s="12"/>
      <c r="N425" s="12" t="str">
        <f ca="1">IFERROR(__xludf.DUMMYFUNCTION("""COMPUTED_VALUE"""),"Table1")</f>
        <v>Table1</v>
      </c>
    </row>
    <row r="426" spans="1:14" ht="15.75" customHeight="1" x14ac:dyDescent="0.35">
      <c r="A426" s="12" t="str">
        <f ca="1">IFERROR(__xludf.DUMMYFUNCTION("""COMPUTED_VALUE"""),"MacArthur, John")</f>
        <v>MacArthur, John</v>
      </c>
      <c r="B426" s="12" t="str">
        <f ca="1">IFERROR(__xludf.DUMMYFUNCTION("""COMPUTED_VALUE""")," John MacArthur")</f>
        <v xml:space="preserve"> John MacArthur</v>
      </c>
      <c r="C426" s="12" t="str">
        <f ca="1">IFERROR(__xludf.DUMMYFUNCTION("""COMPUTED_VALUE"""),"Truth War")</f>
        <v>Truth War</v>
      </c>
      <c r="D426" s="12"/>
      <c r="E426" s="12" t="str">
        <f ca="1">IFERROR(__xludf.DUMMYFUNCTION("""COMPUTED_VALUE"""),"Book")</f>
        <v>Book</v>
      </c>
      <c r="F426" s="12" t="str">
        <f ca="1">IFERROR(__xludf.DUMMYFUNCTION("""COMPUTED_VALUE"""),"Worldview")</f>
        <v>Worldview</v>
      </c>
      <c r="G426" s="12"/>
      <c r="H426" s="12"/>
      <c r="I426" s="12"/>
      <c r="J426" s="12" t="str">
        <f ca="1">IFERROR(__xludf.DUMMYFUNCTION("""COMPUTED_VALUE"""),"Postmodernism, Apologetics")</f>
        <v>Postmodernism, Apologetics</v>
      </c>
      <c r="K426" s="13">
        <f ca="1">IFERROR(__xludf.DUMMYFUNCTION("""COMPUTED_VALUE"""),40049)</f>
        <v>40049</v>
      </c>
      <c r="L426" s="12"/>
      <c r="M426" s="12"/>
      <c r="N426" s="12" t="str">
        <f ca="1">IFERROR(__xludf.DUMMYFUNCTION("""COMPUTED_VALUE"""),"Table1")</f>
        <v>Table1</v>
      </c>
    </row>
    <row r="427" spans="1:14" ht="15.75" customHeight="1" x14ac:dyDescent="0.35">
      <c r="A427" s="12" t="str">
        <f ca="1">IFERROR(__xludf.DUMMYFUNCTION("""COMPUTED_VALUE"""),"MacArthur, John")</f>
        <v>MacArthur, John</v>
      </c>
      <c r="B427" s="12" t="str">
        <f ca="1">IFERROR(__xludf.DUMMYFUNCTION("""COMPUTED_VALUE""")," John MacArthur")</f>
        <v xml:space="preserve"> John MacArthur</v>
      </c>
      <c r="C427" s="12" t="str">
        <f ca="1">IFERROR(__xludf.DUMMYFUNCTION("""COMPUTED_VALUE"""),"Twelve Ordinary Men")</f>
        <v>Twelve Ordinary Men</v>
      </c>
      <c r="D427" s="12"/>
      <c r="E427" s="12" t="str">
        <f ca="1">IFERROR(__xludf.DUMMYFUNCTION("""COMPUTED_VALUE"""),"Book")</f>
        <v>Book</v>
      </c>
      <c r="F427" s="12" t="str">
        <f ca="1">IFERROR(__xludf.DUMMYFUNCTION("""COMPUTED_VALUE"""),"Discipleship")</f>
        <v>Discipleship</v>
      </c>
      <c r="G427" s="12"/>
      <c r="H427" s="12"/>
      <c r="I427" s="12"/>
      <c r="J427" s="12"/>
      <c r="K427" s="13">
        <f ca="1">IFERROR(__xludf.DUMMYFUNCTION("""COMPUTED_VALUE"""),40050)</f>
        <v>40050</v>
      </c>
      <c r="L427" s="12"/>
      <c r="M427" s="12"/>
      <c r="N427" s="12" t="str">
        <f ca="1">IFERROR(__xludf.DUMMYFUNCTION("""COMPUTED_VALUE"""),"Table1")</f>
        <v>Table1</v>
      </c>
    </row>
    <row r="428" spans="1:14" ht="15.75" customHeight="1" x14ac:dyDescent="0.35">
      <c r="A428" s="12" t="str">
        <f ca="1">IFERROR(__xludf.DUMMYFUNCTION("""COMPUTED_VALUE"""),"MacArthur, John")</f>
        <v>MacArthur, John</v>
      </c>
      <c r="B428" s="12" t="str">
        <f ca="1">IFERROR(__xludf.DUMMYFUNCTION("""COMPUTED_VALUE""")," John MacArthur")</f>
        <v xml:space="preserve"> John MacArthur</v>
      </c>
      <c r="C428" s="12" t="str">
        <f ca="1">IFERROR(__xludf.DUMMYFUNCTION("""COMPUTED_VALUE"""),"Whose Money Is It Anyway?")</f>
        <v>Whose Money Is It Anyway?</v>
      </c>
      <c r="D428" s="12"/>
      <c r="E428" s="12" t="str">
        <f ca="1">IFERROR(__xludf.DUMMYFUNCTION("""COMPUTED_VALUE"""),"Book")</f>
        <v>Book</v>
      </c>
      <c r="F428" s="12" t="str">
        <f ca="1">IFERROR(__xludf.DUMMYFUNCTION("""COMPUTED_VALUE"""),"Discipleship")</f>
        <v>Discipleship</v>
      </c>
      <c r="G428" s="12"/>
      <c r="H428" s="12"/>
      <c r="I428" s="12"/>
      <c r="J428" s="12"/>
      <c r="K428" s="13">
        <f ca="1">IFERROR(__xludf.DUMMYFUNCTION("""COMPUTED_VALUE"""),40051)</f>
        <v>40051</v>
      </c>
      <c r="L428" s="12"/>
      <c r="M428" s="12"/>
      <c r="N428" s="12" t="str">
        <f ca="1">IFERROR(__xludf.DUMMYFUNCTION("""COMPUTED_VALUE"""),"Table1")</f>
        <v>Table1</v>
      </c>
    </row>
    <row r="429" spans="1:14" ht="15.75" customHeight="1" x14ac:dyDescent="0.35">
      <c r="A429" s="12" t="str">
        <f ca="1">IFERROR(__xludf.DUMMYFUNCTION("""COMPUTED_VALUE"""),"MacArthur, John; Mahue, Richard")</f>
        <v>MacArthur, John; Mahue, Richard</v>
      </c>
      <c r="B429" s="12" t="str">
        <f ca="1">IFERROR(__xludf.DUMMYFUNCTION("""COMPUTED_VALUE""")," John MacArthur; Richard Mahue")</f>
        <v xml:space="preserve"> John MacArthur; Richard Mahue</v>
      </c>
      <c r="C429" s="12" t="str">
        <f ca="1">IFERROR(__xludf.DUMMYFUNCTION("""COMPUTED_VALUE"""),"Biblical Doctrine")</f>
        <v>Biblical Doctrine</v>
      </c>
      <c r="D429" s="12"/>
      <c r="E429" s="12" t="str">
        <f ca="1">IFERROR(__xludf.DUMMYFUNCTION("""COMPUTED_VALUE"""),"Book")</f>
        <v>Book</v>
      </c>
      <c r="F429" s="12" t="str">
        <f ca="1">IFERROR(__xludf.DUMMYFUNCTION("""COMPUTED_VALUE"""),"Reference")</f>
        <v>Reference</v>
      </c>
      <c r="G429" s="12"/>
      <c r="H429" s="12"/>
      <c r="I429" s="12"/>
      <c r="J429" s="12"/>
      <c r="K429" s="13"/>
      <c r="L429" s="12"/>
      <c r="M429" s="12"/>
      <c r="N429" s="12" t="str">
        <f ca="1">IFERROR(__xludf.DUMMYFUNCTION("""COMPUTED_VALUE"""),"Table1")</f>
        <v>Table1</v>
      </c>
    </row>
    <row r="430" spans="1:14" ht="15.75" customHeight="1" x14ac:dyDescent="0.35">
      <c r="A430" s="12" t="str">
        <f ca="1">IFERROR(__xludf.DUMMYFUNCTION("""COMPUTED_VALUE"""),"Machen, J. Gresham")</f>
        <v>Machen, J. Gresham</v>
      </c>
      <c r="B430" s="12" t="str">
        <f ca="1">IFERROR(__xludf.DUMMYFUNCTION("""COMPUTED_VALUE""")," J. Gresham Machen")</f>
        <v xml:space="preserve"> J. Gresham Machen</v>
      </c>
      <c r="C430" s="12" t="str">
        <f ca="1">IFERROR(__xludf.DUMMYFUNCTION("""COMPUTED_VALUE"""),"The Person of Jesus")</f>
        <v>The Person of Jesus</v>
      </c>
      <c r="D430" s="12"/>
      <c r="E430" s="12" t="str">
        <f ca="1">IFERROR(__xludf.DUMMYFUNCTION("""COMPUTED_VALUE"""),"Book")</f>
        <v>Book</v>
      </c>
      <c r="F430" s="12" t="str">
        <f ca="1">IFERROR(__xludf.DUMMYFUNCTION("""COMPUTED_VALUE"""),"Theology")</f>
        <v>Theology</v>
      </c>
      <c r="G430" s="12"/>
      <c r="H430" s="12"/>
      <c r="I430" s="12"/>
      <c r="J430" s="12"/>
      <c r="K430" s="13">
        <f ca="1">IFERROR(__xludf.DUMMYFUNCTION("""COMPUTED_VALUE"""),42856)</f>
        <v>42856</v>
      </c>
      <c r="L430" s="12"/>
      <c r="M430" s="12"/>
      <c r="N430" s="12" t="str">
        <f ca="1">IFERROR(__xludf.DUMMYFUNCTION("""COMPUTED_VALUE"""),"Table1")</f>
        <v>Table1</v>
      </c>
    </row>
    <row r="431" spans="1:14" ht="15.75" customHeight="1" x14ac:dyDescent="0.35">
      <c r="A431" s="12" t="str">
        <f ca="1">IFERROR(__xludf.DUMMYFUNCTION("""COMPUTED_VALUE"""),"Machowski, Marty")</f>
        <v>Machowski, Marty</v>
      </c>
      <c r="B431" s="12" t="str">
        <f ca="1">IFERROR(__xludf.DUMMYFUNCTION("""COMPUTED_VALUE""")," Marty Machowski")</f>
        <v xml:space="preserve"> Marty Machowski</v>
      </c>
      <c r="C431" s="12" t="str">
        <f ca="1">IFERROR(__xludf.DUMMYFUNCTION("""COMPUTED_VALUE"""),"Don't Blame the Mud: Only Jesus Can Make You Clean")</f>
        <v>Don't Blame the Mud: Only Jesus Can Make You Clean</v>
      </c>
      <c r="D431" s="12"/>
      <c r="E431" s="12" t="str">
        <f ca="1">IFERROR(__xludf.DUMMYFUNCTION("""COMPUTED_VALUE"""),"Book")</f>
        <v>Book</v>
      </c>
      <c r="F431" s="12" t="str">
        <f ca="1">IFERROR(__xludf.DUMMYFUNCTION("""COMPUTED_VALUE"""),"Children")</f>
        <v>Children</v>
      </c>
      <c r="G431" s="12"/>
      <c r="H431" s="12"/>
      <c r="I431" s="12"/>
      <c r="J431" s="12"/>
      <c r="K431" s="13">
        <f ca="1">IFERROR(__xludf.DUMMYFUNCTION("""COMPUTED_VALUE"""),43831)</f>
        <v>43831</v>
      </c>
      <c r="L431" s="12"/>
      <c r="M431" s="12"/>
      <c r="N431" s="12" t="str">
        <f ca="1">IFERROR(__xludf.DUMMYFUNCTION("""COMPUTED_VALUE"""),"Table1")</f>
        <v>Table1</v>
      </c>
    </row>
    <row r="432" spans="1:14" ht="15.75" customHeight="1" x14ac:dyDescent="0.35">
      <c r="A432" s="12" t="str">
        <f ca="1">IFERROR(__xludf.DUMMYFUNCTION("""COMPUTED_VALUE"""),"Machowski, Marty")</f>
        <v>Machowski, Marty</v>
      </c>
      <c r="B432" s="12" t="str">
        <f ca="1">IFERROR(__xludf.DUMMYFUNCTION("""COMPUTED_VALUE""")," Marty Machowski")</f>
        <v xml:space="preserve"> Marty Machowski</v>
      </c>
      <c r="C432" s="12" t="str">
        <f ca="1">IFERROR(__xludf.DUMMYFUNCTION("""COMPUTED_VALUE"""),"Dragon Seed")</f>
        <v>Dragon Seed</v>
      </c>
      <c r="D432" s="12"/>
      <c r="E432" s="12" t="str">
        <f ca="1">IFERROR(__xludf.DUMMYFUNCTION("""COMPUTED_VALUE"""),"Book")</f>
        <v>Book</v>
      </c>
      <c r="F432" s="12" t="str">
        <f ca="1">IFERROR(__xludf.DUMMYFUNCTION("""COMPUTED_VALUE"""),"Children")</f>
        <v>Children</v>
      </c>
      <c r="G432" s="12"/>
      <c r="H432" s="12"/>
      <c r="I432" s="12"/>
      <c r="J432" s="12"/>
      <c r="K432" s="13">
        <f ca="1">IFERROR(__xludf.DUMMYFUNCTION("""COMPUTED_VALUE"""),42966)</f>
        <v>42966</v>
      </c>
      <c r="L432" s="12"/>
      <c r="M432" s="12"/>
      <c r="N432" s="12" t="str">
        <f ca="1">IFERROR(__xludf.DUMMYFUNCTION("""COMPUTED_VALUE"""),"Table1")</f>
        <v>Table1</v>
      </c>
    </row>
    <row r="433" spans="1:14" ht="15.75" customHeight="1" x14ac:dyDescent="0.35">
      <c r="A433" s="12" t="str">
        <f ca="1">IFERROR(__xludf.DUMMYFUNCTION("""COMPUTED_VALUE"""),"Machowski, Marty")</f>
        <v>Machowski, Marty</v>
      </c>
      <c r="B433" s="12" t="str">
        <f ca="1">IFERROR(__xludf.DUMMYFUNCTION("""COMPUTED_VALUE""")," Marty Machowski")</f>
        <v xml:space="preserve"> Marty Machowski</v>
      </c>
      <c r="C433" s="12" t="str">
        <f ca="1">IFERROR(__xludf.DUMMYFUNCTION("""COMPUTED_VALUE"""),"Parenting First Aid: Hope for the Discouraged")</f>
        <v>Parenting First Aid: Hope for the Discouraged</v>
      </c>
      <c r="D433" s="12"/>
      <c r="E433" s="12" t="str">
        <f ca="1">IFERROR(__xludf.DUMMYFUNCTION("""COMPUTED_VALUE"""),"Book")</f>
        <v>Book</v>
      </c>
      <c r="F433" s="12" t="str">
        <f ca="1">IFERROR(__xludf.DUMMYFUNCTION("""COMPUTED_VALUE"""),"Discipleship")</f>
        <v>Discipleship</v>
      </c>
      <c r="G433" s="12"/>
      <c r="H433" s="12"/>
      <c r="I433" s="12" t="str">
        <f ca="1">IFERROR(__xludf.DUMMYFUNCTION("""COMPUTED_VALUE"""),"Parenting")</f>
        <v>Parenting</v>
      </c>
      <c r="J433" s="12"/>
      <c r="K433" s="13">
        <f ca="1">IFERROR(__xludf.DUMMYFUNCTION("""COMPUTED_VALUE"""),44044)</f>
        <v>44044</v>
      </c>
      <c r="L433" s="12"/>
      <c r="M433" s="12"/>
      <c r="N433" s="12" t="str">
        <f ca="1">IFERROR(__xludf.DUMMYFUNCTION("""COMPUTED_VALUE"""),"Table1")</f>
        <v>Table1</v>
      </c>
    </row>
    <row r="434" spans="1:14" ht="15.75" customHeight="1" x14ac:dyDescent="0.35">
      <c r="A434" s="12" t="str">
        <f ca="1">IFERROR(__xludf.DUMMYFUNCTION("""COMPUTED_VALUE"""),"Mack, Wayne")</f>
        <v>Mack, Wayne</v>
      </c>
      <c r="B434" s="12" t="str">
        <f ca="1">IFERROR(__xludf.DUMMYFUNCTION("""COMPUTED_VALUE""")," Wayne Mack")</f>
        <v xml:space="preserve"> Wayne Mack</v>
      </c>
      <c r="C434" s="12" t="str">
        <f ca="1">IFERROR(__xludf.DUMMYFUNCTION("""COMPUTED_VALUE"""),"To Be or Not to Be a Church Member?  ")</f>
        <v xml:space="preserve">To Be or Not to Be a Church Member?  </v>
      </c>
      <c r="D434" s="12"/>
      <c r="E434" s="12" t="str">
        <f ca="1">IFERROR(__xludf.DUMMYFUNCTION("""COMPUTED_VALUE"""),"Book")</f>
        <v>Book</v>
      </c>
      <c r="F434" s="12" t="str">
        <f ca="1">IFERROR(__xludf.DUMMYFUNCTION("""COMPUTED_VALUE"""),"Church")</f>
        <v>Church</v>
      </c>
      <c r="G434" s="12"/>
      <c r="H434" s="12"/>
      <c r="I434" s="12"/>
      <c r="J434" s="12" t="str">
        <f ca="1">IFERROR(__xludf.DUMMYFUNCTION("""COMPUTED_VALUE"""),"Church Membership")</f>
        <v>Church Membership</v>
      </c>
      <c r="K434" s="13">
        <f ca="1">IFERROR(__xludf.DUMMYFUNCTION("""COMPUTED_VALUE"""),40034)</f>
        <v>40034</v>
      </c>
      <c r="L434" s="12"/>
      <c r="M434" s="12"/>
      <c r="N434" s="12" t="str">
        <f ca="1">IFERROR(__xludf.DUMMYFUNCTION("""COMPUTED_VALUE"""),"Table1")</f>
        <v>Table1</v>
      </c>
    </row>
    <row r="435" spans="1:14" ht="15.75" customHeight="1" x14ac:dyDescent="0.35">
      <c r="A435" s="12" t="str">
        <f ca="1">IFERROR(__xludf.DUMMYFUNCTION("""COMPUTED_VALUE"""),"Mackenzie, Carine")</f>
        <v>Mackenzie, Carine</v>
      </c>
      <c r="B435" s="12" t="str">
        <f ca="1">IFERROR(__xludf.DUMMYFUNCTION("""COMPUTED_VALUE""")," Carine Mackenzie")</f>
        <v xml:space="preserve"> Carine Mackenzie</v>
      </c>
      <c r="C435" s="12" t="str">
        <f ca="1">IFERROR(__xludf.DUMMYFUNCTION("""COMPUTED_VALUE"""),"Creation Sings")</f>
        <v>Creation Sings</v>
      </c>
      <c r="D435" s="12"/>
      <c r="E435" s="12" t="str">
        <f ca="1">IFERROR(__xludf.DUMMYFUNCTION("""COMPUTED_VALUE"""),"Book")</f>
        <v>Book</v>
      </c>
      <c r="F435" s="12" t="str">
        <f ca="1">IFERROR(__xludf.DUMMYFUNCTION("""COMPUTED_VALUE"""),"Children")</f>
        <v>Children</v>
      </c>
      <c r="G435" s="12"/>
      <c r="H435" s="12"/>
      <c r="I435" s="12"/>
      <c r="J435" s="12"/>
      <c r="K435" s="13"/>
      <c r="L435" s="12"/>
      <c r="M435" s="12"/>
      <c r="N435" s="12" t="str">
        <f ca="1">IFERROR(__xludf.DUMMYFUNCTION("""COMPUTED_VALUE"""),"Table1")</f>
        <v>Table1</v>
      </c>
    </row>
    <row r="436" spans="1:14" ht="15.75" customHeight="1" x14ac:dyDescent="0.35">
      <c r="A436" s="12" t="str">
        <f ca="1">IFERROR(__xludf.DUMMYFUNCTION("""COMPUTED_VALUE"""),"Mackenzie, Catherine")</f>
        <v>Mackenzie, Catherine</v>
      </c>
      <c r="B436" s="12" t="str">
        <f ca="1">IFERROR(__xludf.DUMMYFUNCTION("""COMPUTED_VALUE""")," Catherine Mackenzie")</f>
        <v xml:space="preserve"> Catherine Mackenzie</v>
      </c>
      <c r="C436" s="12" t="str">
        <f ca="1">IFERROR(__xludf.DUMMYFUNCTION("""COMPUTED_VALUE"""),"Little Lights # 9 Eric Liddell: Are You Ready?")</f>
        <v>Little Lights # 9 Eric Liddell: Are You Ready?</v>
      </c>
      <c r="D436" s="12"/>
      <c r="E436" s="12" t="str">
        <f ca="1">IFERROR(__xludf.DUMMYFUNCTION("""COMPUTED_VALUE"""),"Book")</f>
        <v>Book</v>
      </c>
      <c r="F436" s="12" t="str">
        <f ca="1">IFERROR(__xludf.DUMMYFUNCTION("""COMPUTED_VALUE"""),"Children")</f>
        <v>Children</v>
      </c>
      <c r="G436" s="12"/>
      <c r="H436" s="12"/>
      <c r="I436" s="12"/>
      <c r="J436" s="12"/>
      <c r="K436" s="13">
        <f ca="1">IFERROR(__xludf.DUMMYFUNCTION("""COMPUTED_VALUE"""),43095)</f>
        <v>43095</v>
      </c>
      <c r="L436" s="12"/>
      <c r="M436" s="12"/>
      <c r="N436" s="12" t="str">
        <f ca="1">IFERROR(__xludf.DUMMYFUNCTION("""COMPUTED_VALUE"""),"Table1")</f>
        <v>Table1</v>
      </c>
    </row>
    <row r="437" spans="1:14" ht="15.75" customHeight="1" x14ac:dyDescent="0.35">
      <c r="A437" s="12" t="str">
        <f ca="1">IFERROR(__xludf.DUMMYFUNCTION("""COMPUTED_VALUE"""),"Mackenzie, Catherine")</f>
        <v>Mackenzie, Catherine</v>
      </c>
      <c r="B437" s="12" t="str">
        <f ca="1">IFERROR(__xludf.DUMMYFUNCTION("""COMPUTED_VALUE""")," Catherine Mackenzie")</f>
        <v xml:space="preserve"> Catherine Mackenzie</v>
      </c>
      <c r="C437" s="12" t="str">
        <f ca="1">IFERROR(__xludf.DUMMYFUNCTION("""COMPUTED_VALUE"""),"Little Lights #1  Amy Carmichael: Can Brown Eyes Be Made Blue?")</f>
        <v>Little Lights #1  Amy Carmichael: Can Brown Eyes Be Made Blue?</v>
      </c>
      <c r="D437" s="12"/>
      <c r="E437" s="12" t="str">
        <f ca="1">IFERROR(__xludf.DUMMYFUNCTION("""COMPUTED_VALUE"""),"Book")</f>
        <v>Book</v>
      </c>
      <c r="F437" s="12" t="str">
        <f ca="1">IFERROR(__xludf.DUMMYFUNCTION("""COMPUTED_VALUE"""),"Children")</f>
        <v>Children</v>
      </c>
      <c r="G437" s="12"/>
      <c r="H437" s="12"/>
      <c r="I437" s="12"/>
      <c r="J437" s="12"/>
      <c r="K437" s="13">
        <f ca="1">IFERROR(__xludf.DUMMYFUNCTION("""COMPUTED_VALUE"""),42476)</f>
        <v>42476</v>
      </c>
      <c r="L437" s="12"/>
      <c r="M437" s="12"/>
      <c r="N437" s="12" t="str">
        <f ca="1">IFERROR(__xludf.DUMMYFUNCTION("""COMPUTED_VALUE"""),"Table1")</f>
        <v>Table1</v>
      </c>
    </row>
    <row r="438" spans="1:14" ht="15.75" customHeight="1" x14ac:dyDescent="0.35">
      <c r="A438" s="12" t="str">
        <f ca="1">IFERROR(__xludf.DUMMYFUNCTION("""COMPUTED_VALUE"""),"Mackenzie, Catherine")</f>
        <v>Mackenzie, Catherine</v>
      </c>
      <c r="B438" s="12" t="str">
        <f ca="1">IFERROR(__xludf.DUMMYFUNCTION("""COMPUTED_VALUE""")," Catherine Mackenzie")</f>
        <v xml:space="preserve"> Catherine Mackenzie</v>
      </c>
      <c r="C438" s="12" t="str">
        <f ca="1">IFERROR(__xludf.DUMMYFUNCTION("""COMPUTED_VALUE"""),"Little Lights #10 Mary Slessor: What is it Like?")</f>
        <v>Little Lights #10 Mary Slessor: What is it Like?</v>
      </c>
      <c r="D438" s="12"/>
      <c r="E438" s="12" t="str">
        <f ca="1">IFERROR(__xludf.DUMMYFUNCTION("""COMPUTED_VALUE"""),"Book")</f>
        <v>Book</v>
      </c>
      <c r="F438" s="12" t="str">
        <f ca="1">IFERROR(__xludf.DUMMYFUNCTION("""COMPUTED_VALUE"""),"Children")</f>
        <v>Children</v>
      </c>
      <c r="G438" s="12"/>
      <c r="H438" s="12"/>
      <c r="I438" s="12"/>
      <c r="J438" s="12"/>
      <c r="K438" s="13">
        <f ca="1">IFERROR(__xludf.DUMMYFUNCTION("""COMPUTED_VALUE"""),42476)</f>
        <v>42476</v>
      </c>
      <c r="L438" s="12"/>
      <c r="M438" s="12"/>
      <c r="N438" s="12" t="str">
        <f ca="1">IFERROR(__xludf.DUMMYFUNCTION("""COMPUTED_VALUE"""),"Table1")</f>
        <v>Table1</v>
      </c>
    </row>
    <row r="439" spans="1:14" ht="15.75" customHeight="1" x14ac:dyDescent="0.35">
      <c r="A439" s="12" t="str">
        <f ca="1">IFERROR(__xludf.DUMMYFUNCTION("""COMPUTED_VALUE"""),"Mackenzie, Catherine")</f>
        <v>Mackenzie, Catherine</v>
      </c>
      <c r="B439" s="12" t="str">
        <f ca="1">IFERROR(__xludf.DUMMYFUNCTION("""COMPUTED_VALUE""")," Catherine Mackenzie")</f>
        <v xml:space="preserve"> Catherine Mackenzie</v>
      </c>
      <c r="C439" s="12" t="str">
        <f ca="1">IFERROR(__xludf.DUMMYFUNCTION("""COMPUTED_VALUE"""),"Little Lights #11 C.S. Lewis: Can You Imagine?")</f>
        <v>Little Lights #11 C.S. Lewis: Can You Imagine?</v>
      </c>
      <c r="D439" s="12"/>
      <c r="E439" s="12" t="str">
        <f ca="1">IFERROR(__xludf.DUMMYFUNCTION("""COMPUTED_VALUE"""),"Book")</f>
        <v>Book</v>
      </c>
      <c r="F439" s="12" t="str">
        <f ca="1">IFERROR(__xludf.DUMMYFUNCTION("""COMPUTED_VALUE"""),"Children")</f>
        <v>Children</v>
      </c>
      <c r="G439" s="12"/>
      <c r="H439" s="12"/>
      <c r="I439" s="12"/>
      <c r="J439" s="12"/>
      <c r="K439" s="13">
        <f ca="1">IFERROR(__xludf.DUMMYFUNCTION("""COMPUTED_VALUE"""),43095)</f>
        <v>43095</v>
      </c>
      <c r="L439" s="12"/>
      <c r="M439" s="12"/>
      <c r="N439" s="12" t="str">
        <f ca="1">IFERROR(__xludf.DUMMYFUNCTION("""COMPUTED_VALUE"""),"Table1")</f>
        <v>Table1</v>
      </c>
    </row>
    <row r="440" spans="1:14" ht="15.75" customHeight="1" x14ac:dyDescent="0.35">
      <c r="A440" s="12" t="str">
        <f ca="1">IFERROR(__xludf.DUMMYFUNCTION("""COMPUTED_VALUE"""),"Mackenzie, Catherine")</f>
        <v>Mackenzie, Catherine</v>
      </c>
      <c r="B440" s="12" t="str">
        <f ca="1">IFERROR(__xludf.DUMMYFUNCTION("""COMPUTED_VALUE""")," Catherine Mackenzie")</f>
        <v xml:space="preserve"> Catherine Mackenzie</v>
      </c>
      <c r="C440" s="12" t="str">
        <f ca="1">IFERROR(__xludf.DUMMYFUNCTION("""COMPUTED_VALUE"""),"Little Lights #12 Gladys Aylward: Are You Going to Stop?")</f>
        <v>Little Lights #12 Gladys Aylward: Are You Going to Stop?</v>
      </c>
      <c r="D440" s="12"/>
      <c r="E440" s="12" t="str">
        <f ca="1">IFERROR(__xludf.DUMMYFUNCTION("""COMPUTED_VALUE"""),"Book")</f>
        <v>Book</v>
      </c>
      <c r="F440" s="12" t="str">
        <f ca="1">IFERROR(__xludf.DUMMYFUNCTION("""COMPUTED_VALUE"""),"Children")</f>
        <v>Children</v>
      </c>
      <c r="G440" s="12"/>
      <c r="H440" s="12"/>
      <c r="I440" s="12"/>
      <c r="J440" s="12"/>
      <c r="K440" s="13">
        <f ca="1">IFERROR(__xludf.DUMMYFUNCTION("""COMPUTED_VALUE"""),41773)</f>
        <v>41773</v>
      </c>
      <c r="L440" s="12"/>
      <c r="M440" s="12"/>
      <c r="N440" s="12" t="str">
        <f ca="1">IFERROR(__xludf.DUMMYFUNCTION("""COMPUTED_VALUE"""),"Table1")</f>
        <v>Table1</v>
      </c>
    </row>
    <row r="441" spans="1:14" ht="15.75" customHeight="1" x14ac:dyDescent="0.35">
      <c r="A441" s="12" t="str">
        <f ca="1">IFERROR(__xludf.DUMMYFUNCTION("""COMPUTED_VALUE"""),"Mackenzie, Catherine")</f>
        <v>Mackenzie, Catherine</v>
      </c>
      <c r="B441" s="12" t="str">
        <f ca="1">IFERROR(__xludf.DUMMYFUNCTION("""COMPUTED_VALUE""")," Catherine Mackenzie")</f>
        <v xml:space="preserve"> Catherine Mackenzie</v>
      </c>
      <c r="C441" s="12" t="str">
        <f ca="1">IFERROR(__xludf.DUMMYFUNCTION("""COMPUTED_VALUE"""),"Little Lights #13: Lottie Moon, What Do You Need?")</f>
        <v>Little Lights #13: Lottie Moon, What Do You Need?</v>
      </c>
      <c r="D441" s="12"/>
      <c r="E441" s="12" t="str">
        <f ca="1">IFERROR(__xludf.DUMMYFUNCTION("""COMPUTED_VALUE"""),"Book")</f>
        <v>Book</v>
      </c>
      <c r="F441" s="12" t="str">
        <f ca="1">IFERROR(__xludf.DUMMYFUNCTION("""COMPUTED_VALUE"""),"Children")</f>
        <v>Children</v>
      </c>
      <c r="G441" s="12"/>
      <c r="H441" s="12"/>
      <c r="I441" s="12"/>
      <c r="J441" s="12"/>
      <c r="K441" s="13"/>
      <c r="L441" s="12"/>
      <c r="M441" s="12"/>
      <c r="N441" s="12" t="str">
        <f ca="1">IFERROR(__xludf.DUMMYFUNCTION("""COMPUTED_VALUE"""),"Table1")</f>
        <v>Table1</v>
      </c>
    </row>
    <row r="442" spans="1:14" ht="15.75" customHeight="1" x14ac:dyDescent="0.35">
      <c r="A442" s="12" t="str">
        <f ca="1">IFERROR(__xludf.DUMMYFUNCTION("""COMPUTED_VALUE"""),"Mackenzie, Catherine")</f>
        <v>Mackenzie, Catherine</v>
      </c>
      <c r="B442" s="12" t="str">
        <f ca="1">IFERROR(__xludf.DUMMYFUNCTION("""COMPUTED_VALUE""")," Catherine Mackenzie")</f>
        <v xml:space="preserve"> Catherine Mackenzie</v>
      </c>
      <c r="C442" s="12" t="str">
        <f ca="1">IFERROR(__xludf.DUMMYFUNCTION("""COMPUTED_VALUE"""),"Little Lights #14 John Knox: Who Will Save You?")</f>
        <v>Little Lights #14 John Knox: Who Will Save You?</v>
      </c>
      <c r="D442" s="12"/>
      <c r="E442" s="12" t="str">
        <f ca="1">IFERROR(__xludf.DUMMYFUNCTION("""COMPUTED_VALUE"""),"Book")</f>
        <v>Book</v>
      </c>
      <c r="F442" s="12" t="str">
        <f ca="1">IFERROR(__xludf.DUMMYFUNCTION("""COMPUTED_VALUE"""),"Children")</f>
        <v>Children</v>
      </c>
      <c r="G442" s="12"/>
      <c r="H442" s="12"/>
      <c r="I442" s="12"/>
      <c r="J442" s="12"/>
      <c r="K442" s="13">
        <f ca="1">IFERROR(__xludf.DUMMYFUNCTION("""COMPUTED_VALUE"""),42476)</f>
        <v>42476</v>
      </c>
      <c r="L442" s="12"/>
      <c r="M442" s="12"/>
      <c r="N442" s="12" t="str">
        <f ca="1">IFERROR(__xludf.DUMMYFUNCTION("""COMPUTED_VALUE"""),"Table1")</f>
        <v>Table1</v>
      </c>
    </row>
    <row r="443" spans="1:14" ht="15.75" customHeight="1" x14ac:dyDescent="0.35">
      <c r="A443" s="12" t="str">
        <f ca="1">IFERROR(__xludf.DUMMYFUNCTION("""COMPUTED_VALUE"""),"Mackenzie, Catherine")</f>
        <v>Mackenzie, Catherine</v>
      </c>
      <c r="B443" s="12" t="str">
        <f ca="1">IFERROR(__xludf.DUMMYFUNCTION("""COMPUTED_VALUE""")," Catherine Mackenzie")</f>
        <v xml:space="preserve"> Catherine Mackenzie</v>
      </c>
      <c r="C443" s="12" t="str">
        <f ca="1">IFERROR(__xludf.DUMMYFUNCTION("""COMPUTED_VALUE"""),"Little Lights #2 Hudson Taylor: Could Somebody Pass . . .")</f>
        <v>Little Lights #2 Hudson Taylor: Could Somebody Pass . . .</v>
      </c>
      <c r="D443" s="12"/>
      <c r="E443" s="12" t="str">
        <f ca="1">IFERROR(__xludf.DUMMYFUNCTION("""COMPUTED_VALUE"""),"Book")</f>
        <v>Book</v>
      </c>
      <c r="F443" s="12" t="str">
        <f ca="1">IFERROR(__xludf.DUMMYFUNCTION("""COMPUTED_VALUE"""),"Children")</f>
        <v>Children</v>
      </c>
      <c r="G443" s="12"/>
      <c r="H443" s="12"/>
      <c r="I443" s="12"/>
      <c r="J443" s="12"/>
      <c r="K443" s="13">
        <f ca="1">IFERROR(__xludf.DUMMYFUNCTION("""COMPUTED_VALUE"""),43095)</f>
        <v>43095</v>
      </c>
      <c r="L443" s="12"/>
      <c r="M443" s="12"/>
      <c r="N443" s="12" t="str">
        <f ca="1">IFERROR(__xludf.DUMMYFUNCTION("""COMPUTED_VALUE"""),"Table1")</f>
        <v>Table1</v>
      </c>
    </row>
    <row r="444" spans="1:14" ht="15.75" customHeight="1" x14ac:dyDescent="0.35">
      <c r="A444" s="12" t="str">
        <f ca="1">IFERROR(__xludf.DUMMYFUNCTION("""COMPUTED_VALUE"""),"Mackenzie, Catherine")</f>
        <v>Mackenzie, Catherine</v>
      </c>
      <c r="B444" s="12" t="str">
        <f ca="1">IFERROR(__xludf.DUMMYFUNCTION("""COMPUTED_VALUE""")," Catherine Mackenzie")</f>
        <v xml:space="preserve"> Catherine Mackenzie</v>
      </c>
      <c r="C444" s="12" t="str">
        <f ca="1">IFERROR(__xludf.DUMMYFUNCTION("""COMPUTED_VALUE"""),"Little Lights #3 Corrie ten Boom: Are All of the Watches Safe?")</f>
        <v>Little Lights #3 Corrie ten Boom: Are All of the Watches Safe?</v>
      </c>
      <c r="D444" s="12"/>
      <c r="E444" s="12" t="str">
        <f ca="1">IFERROR(__xludf.DUMMYFUNCTION("""COMPUTED_VALUE"""),"Book")</f>
        <v>Book</v>
      </c>
      <c r="F444" s="12" t="str">
        <f ca="1">IFERROR(__xludf.DUMMYFUNCTION("""COMPUTED_VALUE"""),"Children")</f>
        <v>Children</v>
      </c>
      <c r="G444" s="12"/>
      <c r="H444" s="12"/>
      <c r="I444" s="12"/>
      <c r="J444" s="12"/>
      <c r="K444" s="13">
        <f ca="1">IFERROR(__xludf.DUMMYFUNCTION("""COMPUTED_VALUE"""),41773)</f>
        <v>41773</v>
      </c>
      <c r="L444" s="12"/>
      <c r="M444" s="12"/>
      <c r="N444" s="12" t="str">
        <f ca="1">IFERROR(__xludf.DUMMYFUNCTION("""COMPUTED_VALUE"""),"Table1")</f>
        <v>Table1</v>
      </c>
    </row>
    <row r="445" spans="1:14" ht="15.75" customHeight="1" x14ac:dyDescent="0.35">
      <c r="A445" s="12" t="str">
        <f ca="1">IFERROR(__xludf.DUMMYFUNCTION("""COMPUTED_VALUE"""),"Mackenzie, Catherine")</f>
        <v>Mackenzie, Catherine</v>
      </c>
      <c r="B445" s="12" t="str">
        <f ca="1">IFERROR(__xludf.DUMMYFUNCTION("""COMPUTED_VALUE""")," Catherine Mackenzie")</f>
        <v xml:space="preserve"> Catherine Mackenzie</v>
      </c>
      <c r="C445" s="12" t="str">
        <f ca="1">IFERROR(__xludf.DUMMYFUNCTION("""COMPUTED_VALUE"""),"Little Lights #4 George Muller: Does Money Grow on Trees?")</f>
        <v>Little Lights #4 George Muller: Does Money Grow on Trees?</v>
      </c>
      <c r="D445" s="12"/>
      <c r="E445" s="12" t="str">
        <f ca="1">IFERROR(__xludf.DUMMYFUNCTION("""COMPUTED_VALUE"""),"Book")</f>
        <v>Book</v>
      </c>
      <c r="F445" s="12" t="str">
        <f ca="1">IFERROR(__xludf.DUMMYFUNCTION("""COMPUTED_VALUE"""),"Children")</f>
        <v>Children</v>
      </c>
      <c r="G445" s="12"/>
      <c r="H445" s="12"/>
      <c r="I445" s="12"/>
      <c r="J445" s="12"/>
      <c r="K445" s="13">
        <f ca="1">IFERROR(__xludf.DUMMYFUNCTION("""COMPUTED_VALUE"""),41773)</f>
        <v>41773</v>
      </c>
      <c r="L445" s="12"/>
      <c r="M445" s="12"/>
      <c r="N445" s="12" t="str">
        <f ca="1">IFERROR(__xludf.DUMMYFUNCTION("""COMPUTED_VALUE"""),"Table1")</f>
        <v>Table1</v>
      </c>
    </row>
    <row r="446" spans="1:14" ht="15.75" customHeight="1" x14ac:dyDescent="0.35">
      <c r="A446" s="12" t="str">
        <f ca="1">IFERROR(__xludf.DUMMYFUNCTION("""COMPUTED_VALUE"""),"Mackenzie, Catherine")</f>
        <v>Mackenzie, Catherine</v>
      </c>
      <c r="B446" s="12" t="str">
        <f ca="1">IFERROR(__xludf.DUMMYFUNCTION("""COMPUTED_VALUE""")," Catherine Mackenzie")</f>
        <v xml:space="preserve"> Catherine Mackenzie</v>
      </c>
      <c r="C446" s="12" t="str">
        <f ca="1">IFERROR(__xludf.DUMMYFUNCTION("""COMPUTED_VALUE"""),"Little Lights #5 Helen Roseveare: What's in the Parcel?")</f>
        <v>Little Lights #5 Helen Roseveare: What's in the Parcel?</v>
      </c>
      <c r="D446" s="12"/>
      <c r="E446" s="12" t="str">
        <f ca="1">IFERROR(__xludf.DUMMYFUNCTION("""COMPUTED_VALUE"""),"Book")</f>
        <v>Book</v>
      </c>
      <c r="F446" s="12" t="str">
        <f ca="1">IFERROR(__xludf.DUMMYFUNCTION("""COMPUTED_VALUE"""),"Children")</f>
        <v>Children</v>
      </c>
      <c r="G446" s="12"/>
      <c r="H446" s="12"/>
      <c r="I446" s="12"/>
      <c r="J446" s="12"/>
      <c r="K446" s="13">
        <f ca="1">IFERROR(__xludf.DUMMYFUNCTION("""COMPUTED_VALUE"""),42476)</f>
        <v>42476</v>
      </c>
      <c r="L446" s="12"/>
      <c r="M446" s="12"/>
      <c r="N446" s="12" t="str">
        <f ca="1">IFERROR(__xludf.DUMMYFUNCTION("""COMPUTED_VALUE"""),"Table1")</f>
        <v>Table1</v>
      </c>
    </row>
    <row r="447" spans="1:14" ht="15.75" customHeight="1" x14ac:dyDescent="0.35">
      <c r="A447" s="12" t="str">
        <f ca="1">IFERROR(__xludf.DUMMYFUNCTION("""COMPUTED_VALUE"""),"Mackenzie, Catherine")</f>
        <v>Mackenzie, Catherine</v>
      </c>
      <c r="B447" s="12" t="str">
        <f ca="1">IFERROR(__xludf.DUMMYFUNCTION("""COMPUTED_VALUE""")," Catherine Mackenzie")</f>
        <v xml:space="preserve"> Catherine Mackenzie</v>
      </c>
      <c r="C447" s="12" t="str">
        <f ca="1">IFERROR(__xludf.DUMMYFUNCTION("""COMPUTED_VALUE"""),"Little Lights #6 David Livingstone: Who Is the Bravest?")</f>
        <v>Little Lights #6 David Livingstone: Who Is the Bravest?</v>
      </c>
      <c r="D447" s="12"/>
      <c r="E447" s="12" t="str">
        <f ca="1">IFERROR(__xludf.DUMMYFUNCTION("""COMPUTED_VALUE"""),"Book")</f>
        <v>Book</v>
      </c>
      <c r="F447" s="12" t="str">
        <f ca="1">IFERROR(__xludf.DUMMYFUNCTION("""COMPUTED_VALUE"""),"Children")</f>
        <v>Children</v>
      </c>
      <c r="G447" s="12"/>
      <c r="H447" s="12"/>
      <c r="I447" s="12"/>
      <c r="J447" s="12"/>
      <c r="K447" s="13">
        <f ca="1">IFERROR(__xludf.DUMMYFUNCTION("""COMPUTED_VALUE"""),43095)</f>
        <v>43095</v>
      </c>
      <c r="L447" s="12"/>
      <c r="M447" s="12"/>
      <c r="N447" s="12" t="str">
        <f ca="1">IFERROR(__xludf.DUMMYFUNCTION("""COMPUTED_VALUE"""),"Table1")</f>
        <v>Table1</v>
      </c>
    </row>
    <row r="448" spans="1:14" ht="15.75" customHeight="1" x14ac:dyDescent="0.35">
      <c r="A448" s="12" t="str">
        <f ca="1">IFERROR(__xludf.DUMMYFUNCTION("""COMPUTED_VALUE"""),"Mackenzie, Catherine")</f>
        <v>Mackenzie, Catherine</v>
      </c>
      <c r="B448" s="12" t="str">
        <f ca="1">IFERROR(__xludf.DUMMYFUNCTION("""COMPUTED_VALUE""")," Catherine Mackenzie")</f>
        <v xml:space="preserve"> Catherine Mackenzie</v>
      </c>
      <c r="C448" s="12" t="str">
        <f ca="1">IFERROR(__xludf.DUMMYFUNCTION("""COMPUTED_VALUE"""),"Little Lights #7 John Calvin: What is the Truth?")</f>
        <v>Little Lights #7 John Calvin: What is the Truth?</v>
      </c>
      <c r="D448" s="12"/>
      <c r="E448" s="12" t="str">
        <f ca="1">IFERROR(__xludf.DUMMYFUNCTION("""COMPUTED_VALUE"""),"Book")</f>
        <v>Book</v>
      </c>
      <c r="F448" s="12" t="str">
        <f ca="1">IFERROR(__xludf.DUMMYFUNCTION("""COMPUTED_VALUE"""),"children")</f>
        <v>children</v>
      </c>
      <c r="G448" s="12"/>
      <c r="H448" s="12"/>
      <c r="I448" s="12"/>
      <c r="J448" s="12"/>
      <c r="K448" s="13">
        <f ca="1">IFERROR(__xludf.DUMMYFUNCTION("""COMPUTED_VALUE"""),42476)</f>
        <v>42476</v>
      </c>
      <c r="L448" s="12"/>
      <c r="M448" s="12"/>
      <c r="N448" s="12" t="str">
        <f ca="1">IFERROR(__xludf.DUMMYFUNCTION("""COMPUTED_VALUE"""),"Table1")</f>
        <v>Table1</v>
      </c>
    </row>
    <row r="449" spans="1:14" ht="15.75" customHeight="1" x14ac:dyDescent="0.35">
      <c r="A449" s="12" t="str">
        <f ca="1">IFERROR(__xludf.DUMMYFUNCTION("""COMPUTED_VALUE"""),"Mackenzie, Catherine")</f>
        <v>Mackenzie, Catherine</v>
      </c>
      <c r="B449" s="12" t="str">
        <f ca="1">IFERROR(__xludf.DUMMYFUNCTION("""COMPUTED_VALUE""")," Catherine Mackenzie")</f>
        <v xml:space="preserve"> Catherine Mackenzie</v>
      </c>
      <c r="C449" s="12" t="str">
        <f ca="1">IFERROR(__xludf.DUMMYFUNCTION("""COMPUTED_VALUE"""),"Little Lights #8 Martin Luther: What Should I Do?")</f>
        <v>Little Lights #8 Martin Luther: What Should I Do?</v>
      </c>
      <c r="D449" s="12" t="str">
        <f ca="1">IFERROR(__xludf.DUMMYFUNCTION("""COMPUTED_VALUE"""),"2 copies")</f>
        <v>2 copies</v>
      </c>
      <c r="E449" s="12" t="str">
        <f ca="1">IFERROR(__xludf.DUMMYFUNCTION("""COMPUTED_VALUE"""),"Book")</f>
        <v>Book</v>
      </c>
      <c r="F449" s="12" t="str">
        <f ca="1">IFERROR(__xludf.DUMMYFUNCTION("""COMPUTED_VALUE"""),"Children")</f>
        <v>Children</v>
      </c>
      <c r="G449" s="12"/>
      <c r="H449" s="12"/>
      <c r="I449" s="12"/>
      <c r="J449" s="12"/>
      <c r="K449" s="13">
        <f ca="1">IFERROR(__xludf.DUMMYFUNCTION("""COMPUTED_VALUE"""),41773)</f>
        <v>41773</v>
      </c>
      <c r="L449" s="12"/>
      <c r="M449" s="12"/>
      <c r="N449" s="12" t="str">
        <f ca="1">IFERROR(__xludf.DUMMYFUNCTION("""COMPUTED_VALUE"""),"Table1")</f>
        <v>Table1</v>
      </c>
    </row>
    <row r="450" spans="1:14" ht="15.75" customHeight="1" x14ac:dyDescent="0.35">
      <c r="A450" s="12" t="str">
        <f ca="1">IFERROR(__xludf.DUMMYFUNCTION("""COMPUTED_VALUE"""),"Mahaney, C.J.")</f>
        <v>Mahaney, C.J.</v>
      </c>
      <c r="B450" s="12" t="str">
        <f ca="1">IFERROR(__xludf.DUMMYFUNCTION("""COMPUTED_VALUE""")," C.J. Mahaney")</f>
        <v xml:space="preserve"> C.J. Mahaney</v>
      </c>
      <c r="C450" s="12" t="str">
        <f ca="1">IFERROR(__xludf.DUMMYFUNCTION("""COMPUTED_VALUE"""),"Living the Cross-Centered Life")</f>
        <v>Living the Cross-Centered Life</v>
      </c>
      <c r="D450" s="12"/>
      <c r="E450" s="12" t="str">
        <f ca="1">IFERROR(__xludf.DUMMYFUNCTION("""COMPUTED_VALUE"""),"Book")</f>
        <v>Book</v>
      </c>
      <c r="F450" s="12" t="str">
        <f ca="1">IFERROR(__xludf.DUMMYFUNCTION("""COMPUTED_VALUE"""),"Discipleship")</f>
        <v>Discipleship</v>
      </c>
      <c r="G450" s="12"/>
      <c r="H450" s="12"/>
      <c r="I450" s="12"/>
      <c r="J450" s="12"/>
      <c r="K450" s="13">
        <f ca="1">IFERROR(__xludf.DUMMYFUNCTION("""COMPUTED_VALUE"""),40052)</f>
        <v>40052</v>
      </c>
      <c r="L450" s="12"/>
      <c r="M450" s="12"/>
      <c r="N450" s="12" t="str">
        <f ca="1">IFERROR(__xludf.DUMMYFUNCTION("""COMPUTED_VALUE"""),"Table1")</f>
        <v>Table1</v>
      </c>
    </row>
    <row r="451" spans="1:14" ht="15.75" customHeight="1" x14ac:dyDescent="0.35">
      <c r="A451" s="12" t="str">
        <f ca="1">IFERROR(__xludf.DUMMYFUNCTION("""COMPUTED_VALUE"""),"Mahaney, C.J.")</f>
        <v>Mahaney, C.J.</v>
      </c>
      <c r="B451" s="12" t="str">
        <f ca="1">IFERROR(__xludf.DUMMYFUNCTION("""COMPUTED_VALUE""")," C.J. Mahaney")</f>
        <v xml:space="preserve"> C.J. Mahaney</v>
      </c>
      <c r="C451" s="12" t="str">
        <f ca="1">IFERROR(__xludf.DUMMYFUNCTION("""COMPUTED_VALUE"""),"Worldiness: Resisting the Seduction of a Fallen World")</f>
        <v>Worldiness: Resisting the Seduction of a Fallen World</v>
      </c>
      <c r="D451" s="12" t="str">
        <f ca="1">IFERROR(__xludf.DUMMYFUNCTION("""COMPUTED_VALUE"""),"Varied")</f>
        <v>Varied</v>
      </c>
      <c r="E451" s="12" t="str">
        <f ca="1">IFERROR(__xludf.DUMMYFUNCTION("""COMPUTED_VALUE"""),"Book")</f>
        <v>Book</v>
      </c>
      <c r="F451" s="12" t="str">
        <f ca="1">IFERROR(__xludf.DUMMYFUNCTION("""COMPUTED_VALUE"""),"Discipleship")</f>
        <v>Discipleship</v>
      </c>
      <c r="G451" s="12"/>
      <c r="H451" s="12"/>
      <c r="I451" s="12"/>
      <c r="J451" s="12"/>
      <c r="K451" s="13">
        <f ca="1">IFERROR(__xludf.DUMMYFUNCTION("""COMPUTED_VALUE"""),40053)</f>
        <v>40053</v>
      </c>
      <c r="L451" s="12"/>
      <c r="M451" s="12"/>
      <c r="N451" s="12" t="str">
        <f ca="1">IFERROR(__xludf.DUMMYFUNCTION("""COMPUTED_VALUE"""),"Table1")</f>
        <v>Table1</v>
      </c>
    </row>
    <row r="452" spans="1:14" ht="15.75" customHeight="1" x14ac:dyDescent="0.35">
      <c r="A452" s="12" t="str">
        <f ca="1">IFERROR(__xludf.DUMMYFUNCTION("""COMPUTED_VALUE"""),"Mahaney, Carolyn")</f>
        <v>Mahaney, Carolyn</v>
      </c>
      <c r="B452" s="12" t="str">
        <f ca="1">IFERROR(__xludf.DUMMYFUNCTION("""COMPUTED_VALUE""")," Carolyn Mahaney")</f>
        <v xml:space="preserve"> Carolyn Mahaney</v>
      </c>
      <c r="C452" s="12" t="str">
        <f ca="1">IFERROR(__xludf.DUMMYFUNCTION("""COMPUTED_VALUE"""),"Feminine Appeal: Seven Virtues of Godly Wife/Mother")</f>
        <v>Feminine Appeal: Seven Virtues of Godly Wife/Mother</v>
      </c>
      <c r="D452" s="12"/>
      <c r="E452" s="12" t="str">
        <f ca="1">IFERROR(__xludf.DUMMYFUNCTION("""COMPUTED_VALUE"""),"Book")</f>
        <v>Book</v>
      </c>
      <c r="F452" s="12" t="str">
        <f ca="1">IFERROR(__xludf.DUMMYFUNCTION("""COMPUTED_VALUE"""),"Discipleship")</f>
        <v>Discipleship</v>
      </c>
      <c r="G452" s="12"/>
      <c r="H452" s="12"/>
      <c r="I452" s="12"/>
      <c r="J452" s="12" t="str">
        <f ca="1">IFERROR(__xludf.DUMMYFUNCTION("""COMPUTED_VALUE"""),"Christian Women")</f>
        <v>Christian Women</v>
      </c>
      <c r="K452" s="13">
        <f ca="1">IFERROR(__xludf.DUMMYFUNCTION("""COMPUTED_VALUE"""),40054)</f>
        <v>40054</v>
      </c>
      <c r="L452" s="12"/>
      <c r="M452" s="12"/>
      <c r="N452" s="12" t="str">
        <f ca="1">IFERROR(__xludf.DUMMYFUNCTION("""COMPUTED_VALUE"""),"Table1")</f>
        <v>Table1</v>
      </c>
    </row>
    <row r="453" spans="1:14" ht="15.75" customHeight="1" x14ac:dyDescent="0.35">
      <c r="A453" s="12" t="str">
        <f ca="1">IFERROR(__xludf.DUMMYFUNCTION("""COMPUTED_VALUE"""),"Mahaney, Carolyn")</f>
        <v>Mahaney, Carolyn</v>
      </c>
      <c r="B453" s="12" t="str">
        <f ca="1">IFERROR(__xludf.DUMMYFUNCTION("""COMPUTED_VALUE""")," Carolyn Mahaney")</f>
        <v xml:space="preserve"> Carolyn Mahaney</v>
      </c>
      <c r="C453" s="12" t="str">
        <f ca="1">IFERROR(__xludf.DUMMYFUNCTION("""COMPUTED_VALUE"""),"Girl Talk: Mother-Daughter Conversations on Biblical Womanhood")</f>
        <v>Girl Talk: Mother-Daughter Conversations on Biblical Womanhood</v>
      </c>
      <c r="D453" s="12"/>
      <c r="E453" s="12" t="str">
        <f ca="1">IFERROR(__xludf.DUMMYFUNCTION("""COMPUTED_VALUE"""),"Book")</f>
        <v>Book</v>
      </c>
      <c r="F453" s="12" t="str">
        <f ca="1">IFERROR(__xludf.DUMMYFUNCTION("""COMPUTED_VALUE"""),"Understanding Mankind")</f>
        <v>Understanding Mankind</v>
      </c>
      <c r="G453" s="12"/>
      <c r="H453" s="12"/>
      <c r="I453" s="12"/>
      <c r="J453" s="12" t="str">
        <f ca="1">IFERROR(__xludf.DUMMYFUNCTION("""COMPUTED_VALUE"""),"Christian Women")</f>
        <v>Christian Women</v>
      </c>
      <c r="K453" s="13">
        <f ca="1">IFERROR(__xludf.DUMMYFUNCTION("""COMPUTED_VALUE"""),42476)</f>
        <v>42476</v>
      </c>
      <c r="L453" s="12"/>
      <c r="M453" s="12"/>
      <c r="N453" s="12" t="str">
        <f ca="1">IFERROR(__xludf.DUMMYFUNCTION("""COMPUTED_VALUE"""),"Table1")</f>
        <v>Table1</v>
      </c>
    </row>
    <row r="454" spans="1:14" ht="15.75" customHeight="1" x14ac:dyDescent="0.35">
      <c r="A454" s="12" t="str">
        <f ca="1">IFERROR(__xludf.DUMMYFUNCTION("""COMPUTED_VALUE"""),"Mahaney, Carolyn")</f>
        <v>Mahaney, Carolyn</v>
      </c>
      <c r="B454" s="12" t="str">
        <f ca="1">IFERROR(__xludf.DUMMYFUNCTION("""COMPUTED_VALUE""")," Carolyn Mahaney")</f>
        <v xml:space="preserve"> Carolyn Mahaney</v>
      </c>
      <c r="C454" s="12" t="str">
        <f ca="1">IFERROR(__xludf.DUMMYFUNCTION("""COMPUTED_VALUE"""),"True Beauty")</f>
        <v>True Beauty</v>
      </c>
      <c r="D454" s="12" t="str">
        <f ca="1">IFERROR(__xludf.DUMMYFUNCTION("""COMPUTED_VALUE"""),"Whitacre")</f>
        <v>Whitacre</v>
      </c>
      <c r="E454" s="12" t="str">
        <f ca="1">IFERROR(__xludf.DUMMYFUNCTION("""COMPUTED_VALUE"""),"Book")</f>
        <v>Book</v>
      </c>
      <c r="F454" s="12" t="str">
        <f ca="1">IFERROR(__xludf.DUMMYFUNCTION("""COMPUTED_VALUE"""),"Understanding Mankind")</f>
        <v>Understanding Mankind</v>
      </c>
      <c r="G454" s="12"/>
      <c r="H454" s="12"/>
      <c r="I454" s="12"/>
      <c r="J454" s="12" t="str">
        <f ca="1">IFERROR(__xludf.DUMMYFUNCTION("""COMPUTED_VALUE"""),"Christian Women")</f>
        <v>Christian Women</v>
      </c>
      <c r="K454" s="13">
        <f ca="1">IFERROR(__xludf.DUMMYFUNCTION("""COMPUTED_VALUE"""),41804)</f>
        <v>41804</v>
      </c>
      <c r="L454" s="12"/>
      <c r="M454" s="12"/>
      <c r="N454" s="12" t="str">
        <f ca="1">IFERROR(__xludf.DUMMYFUNCTION("""COMPUTED_VALUE"""),"Table1")</f>
        <v>Table1</v>
      </c>
    </row>
    <row r="455" spans="1:14" ht="15.75" customHeight="1" x14ac:dyDescent="0.35">
      <c r="A455" s="12" t="str">
        <f ca="1">IFERROR(__xludf.DUMMYFUNCTION("""COMPUTED_VALUE"""),"Mahaney, Carolyn")</f>
        <v>Mahaney, Carolyn</v>
      </c>
      <c r="B455" s="12" t="str">
        <f ca="1">IFERROR(__xludf.DUMMYFUNCTION("""COMPUTED_VALUE""")," Carolyn Mahaney")</f>
        <v xml:space="preserve"> Carolyn Mahaney</v>
      </c>
      <c r="C455" s="12" t="str">
        <f ca="1">IFERROR(__xludf.DUMMYFUNCTION("""COMPUTED_VALUE"""),"True Feelings: God's Gracious and Glorious Purpose for Our Emotions")</f>
        <v>True Feelings: God's Gracious and Glorious Purpose for Our Emotions</v>
      </c>
      <c r="D455" s="12" t="str">
        <f ca="1">IFERROR(__xludf.DUMMYFUNCTION("""COMPUTED_VALUE"""),"Nicole Whitacre")</f>
        <v>Nicole Whitacre</v>
      </c>
      <c r="E455" s="12" t="str">
        <f ca="1">IFERROR(__xludf.DUMMYFUNCTION("""COMPUTED_VALUE"""),"Book")</f>
        <v>Book</v>
      </c>
      <c r="F455" s="12" t="str">
        <f ca="1">IFERROR(__xludf.DUMMYFUNCTION("""COMPUTED_VALUE"""),"Understanding Mankind")</f>
        <v>Understanding Mankind</v>
      </c>
      <c r="G455" s="12"/>
      <c r="H455" s="12"/>
      <c r="I455" s="12"/>
      <c r="J455" s="12" t="str">
        <f ca="1">IFERROR(__xludf.DUMMYFUNCTION("""COMPUTED_VALUE"""),"Emotions")</f>
        <v>Emotions</v>
      </c>
      <c r="K455" s="13">
        <f ca="1">IFERROR(__xludf.DUMMYFUNCTION("""COMPUTED_VALUE"""),44534)</f>
        <v>44534</v>
      </c>
      <c r="L455" s="12"/>
      <c r="M455" s="12"/>
      <c r="N455" s="12" t="str">
        <f ca="1">IFERROR(__xludf.DUMMYFUNCTION("""COMPUTED_VALUE"""),"Table1")</f>
        <v>Table1</v>
      </c>
    </row>
    <row r="456" spans="1:14" ht="15.75" customHeight="1" x14ac:dyDescent="0.35">
      <c r="A456" s="12" t="str">
        <f ca="1">IFERROR(__xludf.DUMMYFUNCTION("""COMPUTED_VALUE"""),"Mandryk, Jason; Wall, Molly")</f>
        <v>Mandryk, Jason; Wall, Molly</v>
      </c>
      <c r="B456" s="12" t="str">
        <f ca="1">IFERROR(__xludf.DUMMYFUNCTION("""COMPUTED_VALUE""")," Jason Mandryk; Molly Wall")</f>
        <v xml:space="preserve"> Jason Mandryk; Molly Wall</v>
      </c>
      <c r="C456" s="12" t="str">
        <f ca="1">IFERROR(__xludf.DUMMYFUNCTION("""COMPUTED_VALUE"""),"Window on the World: An Operation World Prayer Resource")</f>
        <v>Window on the World: An Operation World Prayer Resource</v>
      </c>
      <c r="D456" s="12"/>
      <c r="E456" s="12" t="str">
        <f ca="1">IFERROR(__xludf.DUMMYFUNCTION("""COMPUTED_VALUE"""),"Book")</f>
        <v>Book</v>
      </c>
      <c r="F456" s="12" t="str">
        <f ca="1">IFERROR(__xludf.DUMMYFUNCTION("""COMPUTED_VALUE"""),"Worldview")</f>
        <v>Worldview</v>
      </c>
      <c r="G456" s="12"/>
      <c r="H456" s="12"/>
      <c r="I456" s="12"/>
      <c r="J456" s="12" t="str">
        <f ca="1">IFERROR(__xludf.DUMMYFUNCTION("""COMPUTED_VALUE"""),"Missions, Prayer, Teaching Children")</f>
        <v>Missions, Prayer, Teaching Children</v>
      </c>
      <c r="K456" s="13"/>
      <c r="L456" s="12"/>
      <c r="M456" s="12"/>
      <c r="N456" s="12" t="str">
        <f ca="1">IFERROR(__xludf.DUMMYFUNCTION("""COMPUTED_VALUE"""),"Table1")</f>
        <v>Table1</v>
      </c>
    </row>
    <row r="457" spans="1:14" ht="15.75" customHeight="1" x14ac:dyDescent="0.35">
      <c r="A457" s="12" t="str">
        <f ca="1">IFERROR(__xludf.DUMMYFUNCTION("""COMPUTED_VALUE"""),"Mann, Alan")</f>
        <v>Mann, Alan</v>
      </c>
      <c r="B457" s="12" t="str">
        <f ca="1">IFERROR(__xludf.DUMMYFUNCTION("""COMPUTED_VALUE""")," Alan Mann")</f>
        <v xml:space="preserve"> Alan Mann</v>
      </c>
      <c r="C457" s="12" t="str">
        <f ca="1">IFERROR(__xludf.DUMMYFUNCTION("""COMPUTED_VALUE"""),"Mark's Marvellous Book")</f>
        <v>Mark's Marvellous Book</v>
      </c>
      <c r="D457" s="12"/>
      <c r="E457" s="12" t="str">
        <f ca="1">IFERROR(__xludf.DUMMYFUNCTION("""COMPUTED_VALUE"""),"Book")</f>
        <v>Book</v>
      </c>
      <c r="F457" s="12" t="str">
        <f ca="1">IFERROR(__xludf.DUMMYFUNCTION("""COMPUTED_VALUE"""),"Children")</f>
        <v>Children</v>
      </c>
      <c r="G457" s="12"/>
      <c r="H457" s="12"/>
      <c r="I457" s="12"/>
      <c r="J457" s="12"/>
      <c r="K457" s="13">
        <f ca="1">IFERROR(__xludf.DUMMYFUNCTION("""COMPUTED_VALUE"""),42476)</f>
        <v>42476</v>
      </c>
      <c r="L457" s="12"/>
      <c r="M457" s="12"/>
      <c r="N457" s="12" t="str">
        <f ca="1">IFERROR(__xludf.DUMMYFUNCTION("""COMPUTED_VALUE"""),"Table1")</f>
        <v>Table1</v>
      </c>
    </row>
    <row r="458" spans="1:14" ht="15.75" customHeight="1" x14ac:dyDescent="0.35">
      <c r="A458" s="12" t="str">
        <f ca="1">IFERROR(__xludf.DUMMYFUNCTION("""COMPUTED_VALUE"""),"Marsden, George M")</f>
        <v>Marsden, George M</v>
      </c>
      <c r="B458" s="12" t="str">
        <f ca="1">IFERROR(__xludf.DUMMYFUNCTION("""COMPUTED_VALUE""")," George M Marsden")</f>
        <v xml:space="preserve"> George M Marsden</v>
      </c>
      <c r="C458" s="12" t="str">
        <f ca="1">IFERROR(__xludf.DUMMYFUNCTION("""COMPUTED_VALUE"""),"Reforming Fundamentalism")</f>
        <v>Reforming Fundamentalism</v>
      </c>
      <c r="D458" s="12"/>
      <c r="E458" s="12" t="str">
        <f ca="1">IFERROR(__xludf.DUMMYFUNCTION("""COMPUTED_VALUE"""),"Book")</f>
        <v>Book</v>
      </c>
      <c r="F458" s="12" t="str">
        <f ca="1">IFERROR(__xludf.DUMMYFUNCTION("""COMPUTED_VALUE"""),"Church History")</f>
        <v>Church History</v>
      </c>
      <c r="G458" s="12"/>
      <c r="H458" s="12"/>
      <c r="I458" s="12"/>
      <c r="J458" s="12" t="str">
        <f ca="1">IFERROR(__xludf.DUMMYFUNCTION("""COMPUTED_VALUE"""),"History")</f>
        <v>History</v>
      </c>
      <c r="K458" s="13">
        <f ca="1">IFERROR(__xludf.DUMMYFUNCTION("""COMPUTED_VALUE"""),40055)</f>
        <v>40055</v>
      </c>
      <c r="L458" s="12"/>
      <c r="M458" s="12"/>
      <c r="N458" s="12" t="str">
        <f ca="1">IFERROR(__xludf.DUMMYFUNCTION("""COMPUTED_VALUE"""),"Table1")</f>
        <v>Table1</v>
      </c>
    </row>
    <row r="459" spans="1:14" ht="15.75" customHeight="1" x14ac:dyDescent="0.35">
      <c r="A459" s="12" t="str">
        <f ca="1">IFERROR(__xludf.DUMMYFUNCTION("""COMPUTED_VALUE"""),"Marshall, Colin")</f>
        <v>Marshall, Colin</v>
      </c>
      <c r="B459" s="12" t="str">
        <f ca="1">IFERROR(__xludf.DUMMYFUNCTION("""COMPUTED_VALUE""")," Colin Marshall")</f>
        <v xml:space="preserve"> Colin Marshall</v>
      </c>
      <c r="C459" s="12" t="str">
        <f ca="1">IFERROR(__xludf.DUMMYFUNCTION("""COMPUTED_VALUE"""),"The Trellis and the Vine")</f>
        <v>The Trellis and the Vine</v>
      </c>
      <c r="D459" s="12" t="str">
        <f ca="1">IFERROR(__xludf.DUMMYFUNCTION("""COMPUTED_VALUE"""),"Payne")</f>
        <v>Payne</v>
      </c>
      <c r="E459" s="12" t="str">
        <f ca="1">IFERROR(__xludf.DUMMYFUNCTION("""COMPUTED_VALUE"""),"Book")</f>
        <v>Book</v>
      </c>
      <c r="F459" s="12" t="str">
        <f ca="1">IFERROR(__xludf.DUMMYFUNCTION("""COMPUTED_VALUE"""),"Church")</f>
        <v>Church</v>
      </c>
      <c r="G459" s="12"/>
      <c r="H459" s="12"/>
      <c r="I459" s="12"/>
      <c r="J459" s="12"/>
      <c r="K459" s="13">
        <f ca="1">IFERROR(__xludf.DUMMYFUNCTION("""COMPUTED_VALUE"""),40308)</f>
        <v>40308</v>
      </c>
      <c r="L459" s="12"/>
      <c r="M459" s="12"/>
      <c r="N459" s="12" t="str">
        <f ca="1">IFERROR(__xludf.DUMMYFUNCTION("""COMPUTED_VALUE"""),"Table1")</f>
        <v>Table1</v>
      </c>
    </row>
    <row r="460" spans="1:14" ht="15.75" customHeight="1" x14ac:dyDescent="0.35">
      <c r="A460" s="12" t="str">
        <f ca="1">IFERROR(__xludf.DUMMYFUNCTION("""COMPUTED_VALUE"""),"Martin, Walter")</f>
        <v>Martin, Walter</v>
      </c>
      <c r="B460" s="12" t="str">
        <f ca="1">IFERROR(__xludf.DUMMYFUNCTION("""COMPUTED_VALUE""")," Walter Martin")</f>
        <v xml:space="preserve"> Walter Martin</v>
      </c>
      <c r="C460" s="12" t="str">
        <f ca="1">IFERROR(__xludf.DUMMYFUNCTION("""COMPUTED_VALUE"""),"Kingdom of the Cults: The Definitive Work on the Subject")</f>
        <v>Kingdom of the Cults: The Definitive Work on the Subject</v>
      </c>
      <c r="D460" s="12"/>
      <c r="E460" s="12" t="str">
        <f ca="1">IFERROR(__xludf.DUMMYFUNCTION("""COMPUTED_VALUE"""),"Book")</f>
        <v>Book</v>
      </c>
      <c r="F460" s="12" t="str">
        <f ca="1">IFERROR(__xludf.DUMMYFUNCTION("""COMPUTED_VALUE"""),"Worldview")</f>
        <v>Worldview</v>
      </c>
      <c r="G460" s="12"/>
      <c r="H460" s="12"/>
      <c r="I460" s="12"/>
      <c r="J460" s="12" t="str">
        <f ca="1">IFERROR(__xludf.DUMMYFUNCTION("""COMPUTED_VALUE"""),"World Religions")</f>
        <v>World Religions</v>
      </c>
      <c r="K460" s="13">
        <f ca="1">IFERROR(__xludf.DUMMYFUNCTION("""COMPUTED_VALUE"""),40951)</f>
        <v>40951</v>
      </c>
      <c r="L460" s="12"/>
      <c r="M460" s="12"/>
      <c r="N460" s="12" t="str">
        <f ca="1">IFERROR(__xludf.DUMMYFUNCTION("""COMPUTED_VALUE"""),"Table1")</f>
        <v>Table1</v>
      </c>
    </row>
    <row r="461" spans="1:14" ht="15.75" customHeight="1" x14ac:dyDescent="0.35">
      <c r="A461" s="12" t="str">
        <f ca="1">IFERROR(__xludf.DUMMYFUNCTION("""COMPUTED_VALUE"""),"Mathews, Arthur and Wilda")</f>
        <v>Mathews, Arthur and Wilda</v>
      </c>
      <c r="B461" s="12" t="str">
        <f ca="1">IFERROR(__xludf.DUMMYFUNCTION("""COMPUTED_VALUE"""),"#N/A")</f>
        <v>#N/A</v>
      </c>
      <c r="C461" s="12" t="str">
        <f ca="1">IFERROR(__xludf.DUMMYFUNCTION("""COMPUTED_VALUE"""),"Green Leaf in Drought: Isobel Kuhn")</f>
        <v>Green Leaf in Drought: Isobel Kuhn</v>
      </c>
      <c r="D461" s="12"/>
      <c r="E461" s="12" t="str">
        <f ca="1">IFERROR(__xludf.DUMMYFUNCTION("""COMPUTED_VALUE"""),"Book")</f>
        <v>Book</v>
      </c>
      <c r="F461" s="12" t="str">
        <f ca="1">IFERROR(__xludf.DUMMYFUNCTION("""COMPUTED_VALUE"""),"Biography")</f>
        <v>Biography</v>
      </c>
      <c r="G461" s="12"/>
      <c r="H461" s="12"/>
      <c r="I461" s="12"/>
      <c r="J461" s="12"/>
      <c r="K461" s="13">
        <f ca="1">IFERROR(__xludf.DUMMYFUNCTION("""COMPUTED_VALUE"""),40056)</f>
        <v>40056</v>
      </c>
      <c r="L461" s="12"/>
      <c r="M461" s="12"/>
      <c r="N461" s="12" t="str">
        <f ca="1">IFERROR(__xludf.DUMMYFUNCTION("""COMPUTED_VALUE"""),"Table1")</f>
        <v>Table1</v>
      </c>
    </row>
    <row r="462" spans="1:14" ht="15.75" customHeight="1" x14ac:dyDescent="0.35">
      <c r="A462" s="12" t="str">
        <f ca="1">IFERROR(__xludf.DUMMYFUNCTION("""COMPUTED_VALUE"""),"Mathis, David")</f>
        <v>Mathis, David</v>
      </c>
      <c r="B462" s="12" t="str">
        <f ca="1">IFERROR(__xludf.DUMMYFUNCTION("""COMPUTED_VALUE""")," David Mathis")</f>
        <v xml:space="preserve"> David Mathis</v>
      </c>
      <c r="C462" s="12" t="str">
        <f ca="1">IFERROR(__xludf.DUMMYFUNCTION("""COMPUTED_VALUE"""),"Habits of Grace")</f>
        <v>Habits of Grace</v>
      </c>
      <c r="D462" s="12"/>
      <c r="E462" s="12" t="str">
        <f ca="1">IFERROR(__xludf.DUMMYFUNCTION("""COMPUTED_VALUE"""),"Book")</f>
        <v>Book</v>
      </c>
      <c r="F462" s="12" t="str">
        <f ca="1">IFERROR(__xludf.DUMMYFUNCTION("""COMPUTED_VALUE"""),"Discipleship")</f>
        <v>Discipleship</v>
      </c>
      <c r="G462" s="12"/>
      <c r="H462" s="12"/>
      <c r="I462" s="12"/>
      <c r="J462" s="12"/>
      <c r="K462" s="13">
        <f ca="1">IFERROR(__xludf.DUMMYFUNCTION("""COMPUTED_VALUE"""),42503)</f>
        <v>42503</v>
      </c>
      <c r="L462" s="12"/>
      <c r="M462" s="12"/>
      <c r="N462" s="12" t="str">
        <f ca="1">IFERROR(__xludf.DUMMYFUNCTION("""COMPUTED_VALUE"""),"Table1")</f>
        <v>Table1</v>
      </c>
    </row>
    <row r="463" spans="1:14" ht="15.75" customHeight="1" x14ac:dyDescent="0.35">
      <c r="A463" s="12" t="str">
        <f ca="1">IFERROR(__xludf.DUMMYFUNCTION("""COMPUTED_VALUE"""),"Mayhue, Richard")</f>
        <v>Mayhue, Richard</v>
      </c>
      <c r="B463" s="12" t="str">
        <f ca="1">IFERROR(__xludf.DUMMYFUNCTION("""COMPUTED_VALUE""")," Richard Mayhue")</f>
        <v xml:space="preserve"> Richard Mayhue</v>
      </c>
      <c r="C463" s="12" t="str">
        <f ca="1">IFERROR(__xludf.DUMMYFUNCTION("""COMPUTED_VALUE"""),"The Healing Promise")</f>
        <v>The Healing Promise</v>
      </c>
      <c r="D463" s="12"/>
      <c r="E463" s="12" t="str">
        <f ca="1">IFERROR(__xludf.DUMMYFUNCTION("""COMPUTED_VALUE"""),"Book")</f>
        <v>Book</v>
      </c>
      <c r="F463" s="12" t="str">
        <f ca="1">IFERROR(__xludf.DUMMYFUNCTION("""COMPUTED_VALUE"""),"Understanding Mankind")</f>
        <v>Understanding Mankind</v>
      </c>
      <c r="G463" s="12"/>
      <c r="H463" s="12"/>
      <c r="I463" s="12"/>
      <c r="J463" s="12" t="str">
        <f ca="1">IFERROR(__xludf.DUMMYFUNCTION("""COMPUTED_VALUE"""),"Suffering")</f>
        <v>Suffering</v>
      </c>
      <c r="K463" s="13">
        <f ca="1">IFERROR(__xludf.DUMMYFUNCTION("""COMPUTED_VALUE"""),40735)</f>
        <v>40735</v>
      </c>
      <c r="L463" s="12"/>
      <c r="M463" s="12"/>
      <c r="N463" s="12" t="str">
        <f ca="1">IFERROR(__xludf.DUMMYFUNCTION("""COMPUTED_VALUE"""),"Table1")</f>
        <v>Table1</v>
      </c>
    </row>
    <row r="464" spans="1:14" ht="15.75" customHeight="1" x14ac:dyDescent="0.35">
      <c r="A464" s="12" t="str">
        <f ca="1">IFERROR(__xludf.DUMMYFUNCTION("""COMPUTED_VALUE"""),"McCartney, Dan")</f>
        <v>McCartney, Dan</v>
      </c>
      <c r="B464" s="12" t="str">
        <f ca="1">IFERROR(__xludf.DUMMYFUNCTION("""COMPUTED_VALUE""")," Dan McCartney")</f>
        <v xml:space="preserve"> Dan McCartney</v>
      </c>
      <c r="C464" s="12" t="str">
        <f ca="1">IFERROR(__xludf.DUMMYFUNCTION("""COMPUTED_VALUE"""),"Let the Reader Understand: A Guide to Interpreting and Applying the Bible")</f>
        <v>Let the Reader Understand: A Guide to Interpreting and Applying the Bible</v>
      </c>
      <c r="D464" s="12"/>
      <c r="E464" s="12" t="str">
        <f ca="1">IFERROR(__xludf.DUMMYFUNCTION("""COMPUTED_VALUE"""),"Book")</f>
        <v>Book</v>
      </c>
      <c r="F464" s="12" t="str">
        <f ca="1">IFERROR(__xludf.DUMMYFUNCTION("""COMPUTED_VALUE"""),"Bible")</f>
        <v>Bible</v>
      </c>
      <c r="G464" s="12"/>
      <c r="H464" s="12"/>
      <c r="I464" s="12"/>
      <c r="J464" s="12"/>
      <c r="K464" s="13">
        <f ca="1">IFERROR(__xludf.DUMMYFUNCTION("""COMPUTED_VALUE"""),43832)</f>
        <v>43832</v>
      </c>
      <c r="L464" s="12"/>
      <c r="M464" s="12"/>
      <c r="N464" s="12" t="str">
        <f ca="1">IFERROR(__xludf.DUMMYFUNCTION("""COMPUTED_VALUE"""),"Table1")</f>
        <v>Table1</v>
      </c>
    </row>
    <row r="465" spans="1:14" ht="15.75" customHeight="1" x14ac:dyDescent="0.35">
      <c r="A465" s="12" t="str">
        <f ca="1">IFERROR(__xludf.DUMMYFUNCTION("""COMPUTED_VALUE"""),"McCulley, Carolyn")</f>
        <v>McCulley, Carolyn</v>
      </c>
      <c r="B465" s="12" t="str">
        <f ca="1">IFERROR(__xludf.DUMMYFUNCTION("""COMPUTED_VALUE""")," Carolyn McCulley")</f>
        <v xml:space="preserve"> Carolyn McCulley</v>
      </c>
      <c r="C465" s="12" t="str">
        <f ca="1">IFERROR(__xludf.DUMMYFUNCTION("""COMPUTED_VALUE"""),"Did I Kiss Marriage Goodbye?")</f>
        <v>Did I Kiss Marriage Goodbye?</v>
      </c>
      <c r="D465" s="12"/>
      <c r="E465" s="12" t="str">
        <f ca="1">IFERROR(__xludf.DUMMYFUNCTION("""COMPUTED_VALUE"""),"Book")</f>
        <v>Book</v>
      </c>
      <c r="F465" s="12" t="str">
        <f ca="1">IFERROR(__xludf.DUMMYFUNCTION("""COMPUTED_VALUE"""),"Understanding Mankind")</f>
        <v>Understanding Mankind</v>
      </c>
      <c r="G465" s="12"/>
      <c r="H465" s="12"/>
      <c r="I465" s="12"/>
      <c r="J465" s="12" t="str">
        <f ca="1">IFERROR(__xludf.DUMMYFUNCTION("""COMPUTED_VALUE"""),"Singleness, Dating")</f>
        <v>Singleness, Dating</v>
      </c>
      <c r="K465" s="13">
        <f ca="1">IFERROR(__xludf.DUMMYFUNCTION("""COMPUTED_VALUE"""),40247)</f>
        <v>40247</v>
      </c>
      <c r="L465" s="12"/>
      <c r="M465" s="12"/>
      <c r="N465" s="12" t="str">
        <f ca="1">IFERROR(__xludf.DUMMYFUNCTION("""COMPUTED_VALUE"""),"Table1")</f>
        <v>Table1</v>
      </c>
    </row>
    <row r="466" spans="1:14" ht="15.75" customHeight="1" x14ac:dyDescent="0.35">
      <c r="A466" s="12" t="str">
        <f ca="1">IFERROR(__xludf.DUMMYFUNCTION("""COMPUTED_VALUE"""),"McDowell, Josh")</f>
        <v>McDowell, Josh</v>
      </c>
      <c r="B466" s="12" t="str">
        <f ca="1">IFERROR(__xludf.DUMMYFUNCTION("""COMPUTED_VALUE""")," Josh McDowell")</f>
        <v xml:space="preserve"> Josh McDowell</v>
      </c>
      <c r="C466" s="12" t="str">
        <f ca="1">IFERROR(__xludf.DUMMYFUNCTION("""COMPUTED_VALUE"""),"The New Evidence That Demands a Verdict")</f>
        <v>The New Evidence That Demands a Verdict</v>
      </c>
      <c r="D466" s="12"/>
      <c r="E466" s="12" t="str">
        <f ca="1">IFERROR(__xludf.DUMMYFUNCTION("""COMPUTED_VALUE"""),"Book")</f>
        <v>Book</v>
      </c>
      <c r="F466" s="12" t="str">
        <f ca="1">IFERROR(__xludf.DUMMYFUNCTION("""COMPUTED_VALUE"""),"Reference")</f>
        <v>Reference</v>
      </c>
      <c r="G466" s="12"/>
      <c r="H466" s="12"/>
      <c r="I466" s="12"/>
      <c r="J466" s="12" t="str">
        <f ca="1">IFERROR(__xludf.DUMMYFUNCTION("""COMPUTED_VALUE"""),"Apologetics")</f>
        <v>Apologetics</v>
      </c>
      <c r="K466" s="13">
        <f ca="1">IFERROR(__xludf.DUMMYFUNCTION("""COMPUTED_VALUE"""),40034)</f>
        <v>40034</v>
      </c>
      <c r="L466" s="12"/>
      <c r="M466" s="12"/>
      <c r="N466" s="12" t="str">
        <f ca="1">IFERROR(__xludf.DUMMYFUNCTION("""COMPUTED_VALUE"""),"Table1")</f>
        <v>Table1</v>
      </c>
    </row>
    <row r="467" spans="1:14" ht="15.75" customHeight="1" x14ac:dyDescent="0.35">
      <c r="A467" s="12" t="str">
        <f ca="1">IFERROR(__xludf.DUMMYFUNCTION("""COMPUTED_VALUE"""),"McIntyre, Patrick")</f>
        <v>McIntyre, Patrick</v>
      </c>
      <c r="B467" s="12" t="str">
        <f ca="1">IFERROR(__xludf.DUMMYFUNCTION("""COMPUTED_VALUE""")," Patrick McIntyre")</f>
        <v xml:space="preserve"> Patrick McIntyre</v>
      </c>
      <c r="C467" s="12" t="str">
        <f ca="1">IFERROR(__xludf.DUMMYFUNCTION("""COMPUTED_VALUE"""),"The Graham Formula")</f>
        <v>The Graham Formula</v>
      </c>
      <c r="D467" s="12"/>
      <c r="E467" s="12" t="str">
        <f ca="1">IFERROR(__xludf.DUMMYFUNCTION("""COMPUTED_VALUE"""),"Book")</f>
        <v>Book</v>
      </c>
      <c r="F467" s="12" t="str">
        <f ca="1">IFERROR(__xludf.DUMMYFUNCTION("""COMPUTED_VALUE"""),"Church History")</f>
        <v>Church History</v>
      </c>
      <c r="G467" s="12"/>
      <c r="H467" s="12"/>
      <c r="I467" s="12"/>
      <c r="J467" s="12" t="str">
        <f ca="1">IFERROR(__xludf.DUMMYFUNCTION("""COMPUTED_VALUE"""),"History")</f>
        <v>History</v>
      </c>
      <c r="K467" s="13">
        <f ca="1">IFERROR(__xludf.DUMMYFUNCTION("""COMPUTED_VALUE"""),40035)</f>
        <v>40035</v>
      </c>
      <c r="L467" s="12"/>
      <c r="M467" s="12"/>
      <c r="N467" s="12" t="str">
        <f ca="1">IFERROR(__xludf.DUMMYFUNCTION("""COMPUTED_VALUE"""),"Table1")</f>
        <v>Table1</v>
      </c>
    </row>
    <row r="468" spans="1:14" ht="15.75" customHeight="1" x14ac:dyDescent="0.35">
      <c r="A468" s="12" t="str">
        <f ca="1">IFERROR(__xludf.DUMMYFUNCTION("""COMPUTED_VALUE"""),"Meade, Starr")</f>
        <v>Meade, Starr</v>
      </c>
      <c r="B468" s="12" t="str">
        <f ca="1">IFERROR(__xludf.DUMMYFUNCTION("""COMPUTED_VALUE""")," Starr Meade")</f>
        <v xml:space="preserve"> Starr Meade</v>
      </c>
      <c r="C468" s="12" t="str">
        <f ca="1">IFERROR(__xludf.DUMMYFUNCTION("""COMPUTED_VALUE"""),"Grandpa's Box")</f>
        <v>Grandpa's Box</v>
      </c>
      <c r="D468" s="12"/>
      <c r="E468" s="12" t="str">
        <f ca="1">IFERROR(__xludf.DUMMYFUNCTION("""COMPUTED_VALUE"""),"Book")</f>
        <v>Book</v>
      </c>
      <c r="F468" s="12" t="str">
        <f ca="1">IFERROR(__xludf.DUMMYFUNCTION("""COMPUTED_VALUE"""),"Children")</f>
        <v>Children</v>
      </c>
      <c r="G468" s="12"/>
      <c r="H468" s="12"/>
      <c r="I468" s="12"/>
      <c r="J468" s="12"/>
      <c r="K468" s="13">
        <f ca="1">IFERROR(__xludf.DUMMYFUNCTION("""COMPUTED_VALUE"""),43211)</f>
        <v>43211</v>
      </c>
      <c r="L468" s="12"/>
      <c r="M468" s="12"/>
      <c r="N468" s="12" t="str">
        <f ca="1">IFERROR(__xludf.DUMMYFUNCTION("""COMPUTED_VALUE"""),"Table1")</f>
        <v>Table1</v>
      </c>
    </row>
    <row r="469" spans="1:14" ht="15.75" customHeight="1" x14ac:dyDescent="0.35">
      <c r="A469" s="12" t="str">
        <f ca="1">IFERROR(__xludf.DUMMYFUNCTION("""COMPUTED_VALUE"""),"Meade, Starr")</f>
        <v>Meade, Starr</v>
      </c>
      <c r="B469" s="12" t="str">
        <f ca="1">IFERROR(__xludf.DUMMYFUNCTION("""COMPUTED_VALUE""")," Starr Meade")</f>
        <v xml:space="preserve"> Starr Meade</v>
      </c>
      <c r="C469" s="12" t="str">
        <f ca="1">IFERROR(__xludf.DUMMYFUNCTION("""COMPUTED_VALUE"""),"Training Hearts Teaching Minds")</f>
        <v>Training Hearts Teaching Minds</v>
      </c>
      <c r="D469" s="12"/>
      <c r="E469" s="12" t="str">
        <f ca="1">IFERROR(__xludf.DUMMYFUNCTION("""COMPUTED_VALUE"""),"Book")</f>
        <v>Book</v>
      </c>
      <c r="F469" s="12" t="str">
        <f ca="1">IFERROR(__xludf.DUMMYFUNCTION("""COMPUTED_VALUE"""),"Discipleship")</f>
        <v>Discipleship</v>
      </c>
      <c r="G469" s="12"/>
      <c r="H469" s="12"/>
      <c r="I469" s="12" t="str">
        <f ca="1">IFERROR(__xludf.DUMMYFUNCTION("""COMPUTED_VALUE"""),"Devotionals")</f>
        <v>Devotionals</v>
      </c>
      <c r="J469" s="12"/>
      <c r="K469" s="13">
        <f ca="1">IFERROR(__xludf.DUMMYFUNCTION("""COMPUTED_VALUE"""),42677)</f>
        <v>42677</v>
      </c>
      <c r="L469" s="12"/>
      <c r="M469" s="12"/>
      <c r="N469" s="12" t="str">
        <f ca="1">IFERROR(__xludf.DUMMYFUNCTION("""COMPUTED_VALUE"""),"Table1")</f>
        <v>Table1</v>
      </c>
    </row>
    <row r="470" spans="1:14" ht="15.75" customHeight="1" x14ac:dyDescent="0.35">
      <c r="A470" s="12" t="str">
        <f ca="1">IFERROR(__xludf.DUMMYFUNCTION("""COMPUTED_VALUE"""),"Metaxas, Eric")</f>
        <v>Metaxas, Eric</v>
      </c>
      <c r="B470" s="12" t="str">
        <f ca="1">IFERROR(__xludf.DUMMYFUNCTION("""COMPUTED_VALUE""")," Eric Metaxas")</f>
        <v xml:space="preserve"> Eric Metaxas</v>
      </c>
      <c r="C470" s="12" t="str">
        <f ca="1">IFERROR(__xludf.DUMMYFUNCTION("""COMPUTED_VALUE"""),"Squanto and the Miracle of Thanksgiving")</f>
        <v>Squanto and the Miracle of Thanksgiving</v>
      </c>
      <c r="D470" s="12"/>
      <c r="E470" s="12" t="str">
        <f ca="1">IFERROR(__xludf.DUMMYFUNCTION("""COMPUTED_VALUE"""),"Book")</f>
        <v>Book</v>
      </c>
      <c r="F470" s="12" t="str">
        <f ca="1">IFERROR(__xludf.DUMMYFUNCTION("""COMPUTED_VALUE"""),"Children")</f>
        <v>Children</v>
      </c>
      <c r="G470" s="12"/>
      <c r="H470" s="12"/>
      <c r="I470" s="12"/>
      <c r="J470" s="12"/>
      <c r="K470" s="13">
        <f ca="1">IFERROR(__xludf.DUMMYFUNCTION("""COMPUTED_VALUE"""),40674)</f>
        <v>40674</v>
      </c>
      <c r="L470" s="12"/>
      <c r="M470" s="12"/>
      <c r="N470" s="12" t="str">
        <f ca="1">IFERROR(__xludf.DUMMYFUNCTION("""COMPUTED_VALUE"""),"Table1")</f>
        <v>Table1</v>
      </c>
    </row>
    <row r="471" spans="1:14" ht="15.75" customHeight="1" x14ac:dyDescent="0.35">
      <c r="A471" s="12" t="str">
        <f ca="1">IFERROR(__xludf.DUMMYFUNCTION("""COMPUTED_VALUE"""),"Metzger, Will")</f>
        <v>Metzger, Will</v>
      </c>
      <c r="B471" s="12" t="str">
        <f ca="1">IFERROR(__xludf.DUMMYFUNCTION("""COMPUTED_VALUE""")," Will Metzger")</f>
        <v xml:space="preserve"> Will Metzger</v>
      </c>
      <c r="C471" s="12" t="str">
        <f ca="1">IFERROR(__xludf.DUMMYFUNCTION("""COMPUTED_VALUE"""),"Tell the Truth: The Whole Gospel Wholly by Grace Communicated Truthfully Lovingly")</f>
        <v>Tell the Truth: The Whole Gospel Wholly by Grace Communicated Truthfully Lovingly</v>
      </c>
      <c r="D471" s="12"/>
      <c r="E471" s="12" t="str">
        <f ca="1">IFERROR(__xludf.DUMMYFUNCTION("""COMPUTED_VALUE"""),"Book")</f>
        <v>Book</v>
      </c>
      <c r="F471" s="12" t="str">
        <f ca="1">IFERROR(__xludf.DUMMYFUNCTION("""COMPUTED_VALUE"""),"Salvation")</f>
        <v>Salvation</v>
      </c>
      <c r="G471" s="12"/>
      <c r="H471" s="12"/>
      <c r="I471" s="12"/>
      <c r="J471" s="12" t="str">
        <f ca="1">IFERROR(__xludf.DUMMYFUNCTION("""COMPUTED_VALUE"""),"Evangelism")</f>
        <v>Evangelism</v>
      </c>
      <c r="K471" s="13">
        <f ca="1">IFERROR(__xludf.DUMMYFUNCTION("""COMPUTED_VALUE"""),41591)</f>
        <v>41591</v>
      </c>
      <c r="L471" s="12"/>
      <c r="M471" s="12"/>
      <c r="N471" s="12" t="str">
        <f ca="1">IFERROR(__xludf.DUMMYFUNCTION("""COMPUTED_VALUE"""),"Table1")</f>
        <v>Table1</v>
      </c>
    </row>
    <row r="472" spans="1:14" ht="15.75" customHeight="1" x14ac:dyDescent="0.35">
      <c r="A472" s="12" t="str">
        <f ca="1">IFERROR(__xludf.DUMMYFUNCTION("""COMPUTED_VALUE"""),"Meyers, Kenneth A")</f>
        <v>Meyers, Kenneth A</v>
      </c>
      <c r="B472" s="12" t="str">
        <f ca="1">IFERROR(__xludf.DUMMYFUNCTION("""COMPUTED_VALUE""")," Kenneth A Meyers")</f>
        <v xml:space="preserve"> Kenneth A Meyers</v>
      </c>
      <c r="C472" s="12" t="str">
        <f ca="1">IFERROR(__xludf.DUMMYFUNCTION("""COMPUTED_VALUE"""),"All God's Children and Blue Suede Shoes: Christians and Popular Culture")</f>
        <v>All God's Children and Blue Suede Shoes: Christians and Popular Culture</v>
      </c>
      <c r="D472" s="12"/>
      <c r="E472" s="12" t="str">
        <f ca="1">IFERROR(__xludf.DUMMYFUNCTION("""COMPUTED_VALUE"""),"Book")</f>
        <v>Book</v>
      </c>
      <c r="F472" s="12" t="str">
        <f ca="1">IFERROR(__xludf.DUMMYFUNCTION("""COMPUTED_VALUE"""),"Worldview")</f>
        <v>Worldview</v>
      </c>
      <c r="G472" s="12"/>
      <c r="H472" s="12"/>
      <c r="I472" s="12"/>
      <c r="J472" s="12" t="str">
        <f ca="1">IFERROR(__xludf.DUMMYFUNCTION("""COMPUTED_VALUE"""),"Pop Culture")</f>
        <v>Pop Culture</v>
      </c>
      <c r="K472" s="13">
        <f ca="1">IFERROR(__xludf.DUMMYFUNCTION("""COMPUTED_VALUE"""),40036)</f>
        <v>40036</v>
      </c>
      <c r="L472" s="12"/>
      <c r="M472" s="12"/>
      <c r="N472" s="12" t="str">
        <f ca="1">IFERROR(__xludf.DUMMYFUNCTION("""COMPUTED_VALUE"""),"Table1")</f>
        <v>Table1</v>
      </c>
    </row>
    <row r="473" spans="1:14" ht="15.75" customHeight="1" x14ac:dyDescent="0.35">
      <c r="A473" s="12" t="str">
        <f ca="1">IFERROR(__xludf.DUMMYFUNCTION("""COMPUTED_VALUE"""),"Michael, Sally")</f>
        <v>Michael, Sally</v>
      </c>
      <c r="B473" s="12" t="str">
        <f ca="1">IFERROR(__xludf.DUMMYFUNCTION("""COMPUTED_VALUE""")," Sally Michael")</f>
        <v xml:space="preserve"> Sally Michael</v>
      </c>
      <c r="C473" s="12" t="str">
        <f ca="1">IFERROR(__xludf.DUMMYFUNCTION("""COMPUTED_VALUE"""),"God's Design")</f>
        <v>God's Design</v>
      </c>
      <c r="D473" s="12"/>
      <c r="E473" s="12" t="str">
        <f ca="1">IFERROR(__xludf.DUMMYFUNCTION("""COMPUTED_VALUE"""),"Book")</f>
        <v>Book</v>
      </c>
      <c r="F473" s="12" t="str">
        <f ca="1">IFERROR(__xludf.DUMMYFUNCTION("""COMPUTED_VALUE"""),"Children")</f>
        <v>Children</v>
      </c>
      <c r="G473" s="12"/>
      <c r="H473" s="12"/>
      <c r="I473" s="12"/>
      <c r="J473" s="12"/>
      <c r="K473" s="13">
        <f ca="1">IFERROR(__xludf.DUMMYFUNCTION("""COMPUTED_VALUE"""),43211)</f>
        <v>43211</v>
      </c>
      <c r="L473" s="12"/>
      <c r="M473" s="12"/>
      <c r="N473" s="12" t="str">
        <f ca="1">IFERROR(__xludf.DUMMYFUNCTION("""COMPUTED_VALUE"""),"Table1")</f>
        <v>Table1</v>
      </c>
    </row>
    <row r="474" spans="1:14" ht="15.75" customHeight="1" x14ac:dyDescent="0.35">
      <c r="A474" s="12" t="str">
        <f ca="1">IFERROR(__xludf.DUMMYFUNCTION("""COMPUTED_VALUE"""),"Michael, Sally")</f>
        <v>Michael, Sally</v>
      </c>
      <c r="B474" s="12" t="str">
        <f ca="1">IFERROR(__xludf.DUMMYFUNCTION("""COMPUTED_VALUE""")," Sally Michael")</f>
        <v xml:space="preserve"> Sally Michael</v>
      </c>
      <c r="C474" s="12" t="str">
        <f ca="1">IFERROR(__xludf.DUMMYFUNCTION("""COMPUTED_VALUE"""),"God's Names")</f>
        <v>God's Names</v>
      </c>
      <c r="D474" s="12"/>
      <c r="E474" s="12" t="str">
        <f ca="1">IFERROR(__xludf.DUMMYFUNCTION("""COMPUTED_VALUE"""),"Book")</f>
        <v>Book</v>
      </c>
      <c r="F474" s="12" t="str">
        <f ca="1">IFERROR(__xludf.DUMMYFUNCTION("""COMPUTED_VALUE"""),"Children")</f>
        <v>Children</v>
      </c>
      <c r="G474" s="12"/>
      <c r="H474" s="12"/>
      <c r="I474" s="12"/>
      <c r="J474" s="12"/>
      <c r="K474" s="13">
        <f ca="1">IFERROR(__xludf.DUMMYFUNCTION("""COMPUTED_VALUE"""),41225)</f>
        <v>41225</v>
      </c>
      <c r="L474" s="12"/>
      <c r="M474" s="12"/>
      <c r="N474" s="12" t="str">
        <f ca="1">IFERROR(__xludf.DUMMYFUNCTION("""COMPUTED_VALUE"""),"Table1")</f>
        <v>Table1</v>
      </c>
    </row>
    <row r="475" spans="1:14" ht="15.75" customHeight="1" x14ac:dyDescent="0.35">
      <c r="A475" s="12" t="str">
        <f ca="1">IFERROR(__xludf.DUMMYFUNCTION("""COMPUTED_VALUE"""),"Michael, Sally")</f>
        <v>Michael, Sally</v>
      </c>
      <c r="B475" s="12" t="str">
        <f ca="1">IFERROR(__xludf.DUMMYFUNCTION("""COMPUTED_VALUE""")," Sally Michael")</f>
        <v xml:space="preserve"> Sally Michael</v>
      </c>
      <c r="C475" s="12" t="str">
        <f ca="1">IFERROR(__xludf.DUMMYFUNCTION("""COMPUTED_VALUE"""),"God's Promises")</f>
        <v>God's Promises</v>
      </c>
      <c r="D475" s="12"/>
      <c r="E475" s="12" t="str">
        <f ca="1">IFERROR(__xludf.DUMMYFUNCTION("""COMPUTED_VALUE"""),"Book")</f>
        <v>Book</v>
      </c>
      <c r="F475" s="12" t="str">
        <f ca="1">IFERROR(__xludf.DUMMYFUNCTION("""COMPUTED_VALUE"""),"Children")</f>
        <v>Children</v>
      </c>
      <c r="G475" s="12"/>
      <c r="H475" s="12"/>
      <c r="I475" s="12"/>
      <c r="J475" s="12"/>
      <c r="K475" s="13">
        <f ca="1">IFERROR(__xludf.DUMMYFUNCTION("""COMPUTED_VALUE"""),41225)</f>
        <v>41225</v>
      </c>
      <c r="L475" s="12"/>
      <c r="M475" s="12"/>
      <c r="N475" s="12" t="str">
        <f ca="1">IFERROR(__xludf.DUMMYFUNCTION("""COMPUTED_VALUE"""),"Table1")</f>
        <v>Table1</v>
      </c>
    </row>
    <row r="476" spans="1:14" ht="15.75" customHeight="1" x14ac:dyDescent="0.35">
      <c r="A476" s="12" t="str">
        <f ca="1">IFERROR(__xludf.DUMMYFUNCTION("""COMPUTED_VALUE"""),"Michael, Sally")</f>
        <v>Michael, Sally</v>
      </c>
      <c r="B476" s="12" t="str">
        <f ca="1">IFERROR(__xludf.DUMMYFUNCTION("""COMPUTED_VALUE""")," Sally Michael")</f>
        <v xml:space="preserve"> Sally Michael</v>
      </c>
      <c r="C476" s="12" t="str">
        <f ca="1">IFERROR(__xludf.DUMMYFUNCTION("""COMPUTED_VALUE"""),"God's Wisdom")</f>
        <v>God's Wisdom</v>
      </c>
      <c r="D476" s="12"/>
      <c r="E476" s="12" t="str">
        <f ca="1">IFERROR(__xludf.DUMMYFUNCTION("""COMPUTED_VALUE"""),"Book")</f>
        <v>Book</v>
      </c>
      <c r="F476" s="12" t="str">
        <f ca="1">IFERROR(__xludf.DUMMYFUNCTION("""COMPUTED_VALUE"""),"Children")</f>
        <v>Children</v>
      </c>
      <c r="G476" s="12"/>
      <c r="H476" s="12"/>
      <c r="I476" s="12"/>
      <c r="J476" s="12"/>
      <c r="K476" s="13">
        <f ca="1">IFERROR(__xludf.DUMMYFUNCTION("""COMPUTED_VALUE"""),43211)</f>
        <v>43211</v>
      </c>
      <c r="L476" s="12"/>
      <c r="M476" s="12"/>
      <c r="N476" s="12" t="str">
        <f ca="1">IFERROR(__xludf.DUMMYFUNCTION("""COMPUTED_VALUE"""),"Table1")</f>
        <v>Table1</v>
      </c>
    </row>
    <row r="477" spans="1:14" ht="15.75" customHeight="1" x14ac:dyDescent="0.35">
      <c r="A477" s="12" t="str">
        <f ca="1">IFERROR(__xludf.DUMMYFUNCTION("""COMPUTED_VALUE"""),"Michael, Sally")</f>
        <v>Michael, Sally</v>
      </c>
      <c r="B477" s="12" t="str">
        <f ca="1">IFERROR(__xludf.DUMMYFUNCTION("""COMPUTED_VALUE""")," Sally Michael")</f>
        <v xml:space="preserve"> Sally Michael</v>
      </c>
      <c r="C477" s="12" t="str">
        <f ca="1">IFERROR(__xludf.DUMMYFUNCTION("""COMPUTED_VALUE"""),"More Than a Story: Exploring the Message of the Bible with Children")</f>
        <v>More Than a Story: Exploring the Message of the Bible with Children</v>
      </c>
      <c r="D477" s="12"/>
      <c r="E477" s="12" t="str">
        <f ca="1">IFERROR(__xludf.DUMMYFUNCTION("""COMPUTED_VALUE"""),"Book")</f>
        <v>Book</v>
      </c>
      <c r="F477" s="12" t="str">
        <f ca="1">IFERROR(__xludf.DUMMYFUNCTION("""COMPUTED_VALUE"""),"Children")</f>
        <v>Children</v>
      </c>
      <c r="G477" s="12"/>
      <c r="H477" s="12"/>
      <c r="I477" s="12"/>
      <c r="J477" s="12"/>
      <c r="K477" s="13">
        <f ca="1">IFERROR(__xludf.DUMMYFUNCTION("""COMPUTED_VALUE"""),44772)</f>
        <v>44772</v>
      </c>
      <c r="L477" s="12"/>
      <c r="M477" s="12"/>
      <c r="N477" s="12" t="str">
        <f ca="1">IFERROR(__xludf.DUMMYFUNCTION("""COMPUTED_VALUE"""),"Table1")</f>
        <v>Table1</v>
      </c>
    </row>
    <row r="478" spans="1:14" ht="15.75" customHeight="1" x14ac:dyDescent="0.35">
      <c r="A478" s="12" t="str">
        <f ca="1">IFERROR(__xludf.DUMMYFUNCTION("""COMPUTED_VALUE"""),"Millar, Gary")</f>
        <v>Millar, Gary</v>
      </c>
      <c r="B478" s="12" t="str">
        <f ca="1">IFERROR(__xludf.DUMMYFUNCTION("""COMPUTED_VALUE""")," Gary Millar")</f>
        <v xml:space="preserve"> Gary Millar</v>
      </c>
      <c r="C478" s="12" t="str">
        <f ca="1">IFERROR(__xludf.DUMMYFUNCTION("""COMPUTED_VALUE"""),"Need to Know: Your Guide to the Christian Life")</f>
        <v>Need to Know: Your Guide to the Christian Life</v>
      </c>
      <c r="D478" s="12"/>
      <c r="E478" s="12" t="str">
        <f ca="1">IFERROR(__xludf.DUMMYFUNCTION("""COMPUTED_VALUE"""),"Book")</f>
        <v>Book</v>
      </c>
      <c r="F478" s="12" t="str">
        <f ca="1">IFERROR(__xludf.DUMMYFUNCTION("""COMPUTED_VALUE"""),"Discipleship")</f>
        <v>Discipleship</v>
      </c>
      <c r="G478" s="12"/>
      <c r="H478" s="12"/>
      <c r="I478" s="12"/>
      <c r="J478" s="12"/>
      <c r="K478" s="13">
        <f ca="1">IFERROR(__xludf.DUMMYFUNCTION("""COMPUTED_VALUE"""),43872)</f>
        <v>43872</v>
      </c>
      <c r="L478" s="12"/>
      <c r="M478" s="12"/>
      <c r="N478" s="12" t="str">
        <f ca="1">IFERROR(__xludf.DUMMYFUNCTION("""COMPUTED_VALUE"""),"Table1")</f>
        <v>Table1</v>
      </c>
    </row>
    <row r="479" spans="1:14" ht="15.75" customHeight="1" x14ac:dyDescent="0.35">
      <c r="A479" s="12" t="str">
        <f ca="1">IFERROR(__xludf.DUMMYFUNCTION("""COMPUTED_VALUE"""),"Miller, Basil")</f>
        <v>Miller, Basil</v>
      </c>
      <c r="B479" s="12" t="str">
        <f ca="1">IFERROR(__xludf.DUMMYFUNCTION("""COMPUTED_VALUE""")," Basil Miller")</f>
        <v xml:space="preserve"> Basil Miller</v>
      </c>
      <c r="C479" s="12" t="str">
        <f ca="1">IFERROR(__xludf.DUMMYFUNCTION("""COMPUTED_VALUE"""),"George Muller: Man of Faith and Miracles")</f>
        <v>George Muller: Man of Faith and Miracles</v>
      </c>
      <c r="D479" s="12"/>
      <c r="E479" s="12" t="str">
        <f ca="1">IFERROR(__xludf.DUMMYFUNCTION("""COMPUTED_VALUE"""),"Book")</f>
        <v>Book</v>
      </c>
      <c r="F479" s="12" t="str">
        <f ca="1">IFERROR(__xludf.DUMMYFUNCTION("""COMPUTED_VALUE"""),"Biography")</f>
        <v>Biography</v>
      </c>
      <c r="G479" s="12"/>
      <c r="H479" s="12"/>
      <c r="I479" s="12"/>
      <c r="J479" s="12"/>
      <c r="K479" s="13">
        <f ca="1">IFERROR(__xludf.DUMMYFUNCTION("""COMPUTED_VALUE"""),40037)</f>
        <v>40037</v>
      </c>
      <c r="L479" s="12"/>
      <c r="M479" s="12"/>
      <c r="N479" s="12" t="str">
        <f ca="1">IFERROR(__xludf.DUMMYFUNCTION("""COMPUTED_VALUE"""),"Table1")</f>
        <v>Table1</v>
      </c>
    </row>
    <row r="480" spans="1:14" ht="15.75" customHeight="1" x14ac:dyDescent="0.35">
      <c r="A480" s="12" t="str">
        <f ca="1">IFERROR(__xludf.DUMMYFUNCTION("""COMPUTED_VALUE"""),"Miller, Basil")</f>
        <v>Miller, Basil</v>
      </c>
      <c r="B480" s="12" t="str">
        <f ca="1">IFERROR(__xludf.DUMMYFUNCTION("""COMPUTED_VALUE""")," Basil Miller")</f>
        <v xml:space="preserve"> Basil Miller</v>
      </c>
      <c r="C480" s="12" t="str">
        <f ca="1">IFERROR(__xludf.DUMMYFUNCTION("""COMPUTED_VALUE"""),"John Wesley")</f>
        <v>John Wesley</v>
      </c>
      <c r="D480" s="12"/>
      <c r="E480" s="12" t="str">
        <f ca="1">IFERROR(__xludf.DUMMYFUNCTION("""COMPUTED_VALUE"""),"Book")</f>
        <v>Book</v>
      </c>
      <c r="F480" s="12" t="str">
        <f ca="1">IFERROR(__xludf.DUMMYFUNCTION("""COMPUTED_VALUE"""),"Biography")</f>
        <v>Biography</v>
      </c>
      <c r="G480" s="12"/>
      <c r="H480" s="12"/>
      <c r="I480" s="12"/>
      <c r="J480" s="12"/>
      <c r="K480" s="13">
        <f ca="1">IFERROR(__xludf.DUMMYFUNCTION("""COMPUTED_VALUE"""),39934)</f>
        <v>39934</v>
      </c>
      <c r="L480" s="12"/>
      <c r="M480" s="12"/>
      <c r="N480" s="12" t="str">
        <f ca="1">IFERROR(__xludf.DUMMYFUNCTION("""COMPUTED_VALUE"""),"Table1")</f>
        <v>Table1</v>
      </c>
    </row>
    <row r="481" spans="1:14" ht="15.75" customHeight="1" x14ac:dyDescent="0.35">
      <c r="A481" s="12" t="str">
        <f ca="1">IFERROR(__xludf.DUMMYFUNCTION("""COMPUTED_VALUE"""),"Miller, C. John")</f>
        <v>Miller, C. John</v>
      </c>
      <c r="B481" s="12" t="str">
        <f ca="1">IFERROR(__xludf.DUMMYFUNCTION("""COMPUTED_VALUE""")," C. John Miller")</f>
        <v xml:space="preserve"> C. John Miller</v>
      </c>
      <c r="C481" s="12" t="str">
        <f ca="1">IFERROR(__xludf.DUMMYFUNCTION("""COMPUTED_VALUE"""),"Saving Grace: Daily Devotions from Jack Miller")</f>
        <v>Saving Grace: Daily Devotions from Jack Miller</v>
      </c>
      <c r="D481" s="12"/>
      <c r="E481" s="12" t="str">
        <f ca="1">IFERROR(__xludf.DUMMYFUNCTION("""COMPUTED_VALUE"""),"Book")</f>
        <v>Book</v>
      </c>
      <c r="F481" s="12" t="str">
        <f ca="1">IFERROR(__xludf.DUMMYFUNCTION("""COMPUTED_VALUE"""),"Discipleship")</f>
        <v>Discipleship</v>
      </c>
      <c r="G481" s="12"/>
      <c r="H481" s="12" t="str">
        <f ca="1">IFERROR(__xludf.DUMMYFUNCTION("""COMPUTED_VALUE"""),"Devotionals")</f>
        <v>Devotionals</v>
      </c>
      <c r="I481" s="12"/>
      <c r="J481" s="12"/>
      <c r="K481" s="13">
        <f ca="1">IFERROR(__xludf.DUMMYFUNCTION("""COMPUTED_VALUE"""),42019)</f>
        <v>42019</v>
      </c>
      <c r="L481" s="12"/>
      <c r="M481" s="12"/>
      <c r="N481" s="12" t="str">
        <f ca="1">IFERROR(__xludf.DUMMYFUNCTION("""COMPUTED_VALUE"""),"Table1")</f>
        <v>Table1</v>
      </c>
    </row>
    <row r="482" spans="1:14" ht="15.75" customHeight="1" x14ac:dyDescent="0.35">
      <c r="A482" s="12" t="str">
        <f ca="1">IFERROR(__xludf.DUMMYFUNCTION("""COMPUTED_VALUE"""),"Miller, C. John")</f>
        <v>Miller, C. John</v>
      </c>
      <c r="B482" s="12" t="str">
        <f ca="1">IFERROR(__xludf.DUMMYFUNCTION("""COMPUTED_VALUE""")," C. John Miller")</f>
        <v xml:space="preserve"> C. John Miller</v>
      </c>
      <c r="C482" s="12" t="str">
        <f ca="1">IFERROR(__xludf.DUMMYFUNCTION("""COMPUTED_VALUE"""),"The Heart of a Servant Leader")</f>
        <v>The Heart of a Servant Leader</v>
      </c>
      <c r="D482" s="12"/>
      <c r="E482" s="12" t="str">
        <f ca="1">IFERROR(__xludf.DUMMYFUNCTION("""COMPUTED_VALUE"""),"Book")</f>
        <v>Book</v>
      </c>
      <c r="F482" s="12" t="str">
        <f ca="1">IFERROR(__xludf.DUMMYFUNCTION("""COMPUTED_VALUE"""),"Church")</f>
        <v>Church</v>
      </c>
      <c r="G482" s="12"/>
      <c r="H482" s="12"/>
      <c r="I482" s="12"/>
      <c r="J482" s="12" t="str">
        <f ca="1">IFERROR(__xludf.DUMMYFUNCTION("""COMPUTED_VALUE"""),"Church Leaders")</f>
        <v>Church Leaders</v>
      </c>
      <c r="K482" s="13">
        <f ca="1">IFERROR(__xludf.DUMMYFUNCTION("""COMPUTED_VALUE"""),43211)</f>
        <v>43211</v>
      </c>
      <c r="L482" s="12"/>
      <c r="M482" s="12"/>
      <c r="N482" s="12" t="str">
        <f ca="1">IFERROR(__xludf.DUMMYFUNCTION("""COMPUTED_VALUE"""),"Table1")</f>
        <v>Table1</v>
      </c>
    </row>
    <row r="483" spans="1:14" ht="15.75" customHeight="1" x14ac:dyDescent="0.35">
      <c r="A483" s="12" t="str">
        <f ca="1">IFERROR(__xludf.DUMMYFUNCTION("""COMPUTED_VALUE"""),"Miller, C. John &amp; Barbara")</f>
        <v>Miller, C. John &amp; Barbara</v>
      </c>
      <c r="B483" s="12" t="str">
        <f ca="1">IFERROR(__xludf.DUMMYFUNCTION("""COMPUTED_VALUE""")," C. John &amp; Barbara Miller")</f>
        <v xml:space="preserve"> C. John &amp; Barbara Miller</v>
      </c>
      <c r="C483" s="12" t="str">
        <f ca="1">IFERROR(__xludf.DUMMYFUNCTION("""COMPUTED_VALUE"""),"Come Back, Barbara")</f>
        <v>Come Back, Barbara</v>
      </c>
      <c r="D483" s="12"/>
      <c r="E483" s="12" t="str">
        <f ca="1">IFERROR(__xludf.DUMMYFUNCTION("""COMPUTED_VALUE"""),"Book")</f>
        <v>Book</v>
      </c>
      <c r="F483" s="12" t="str">
        <f ca="1">IFERROR(__xludf.DUMMYFUNCTION("""COMPUTED_VALUE"""),"Understanding Mankind")</f>
        <v>Understanding Mankind</v>
      </c>
      <c r="G483" s="12"/>
      <c r="H483" s="12"/>
      <c r="I483" s="12"/>
      <c r="J483" s="12" t="str">
        <f ca="1">IFERROR(__xludf.DUMMYFUNCTION("""COMPUTED_VALUE"""),"Parenting, Teaching Youth")</f>
        <v>Parenting, Teaching Youth</v>
      </c>
      <c r="K483" s="13">
        <f ca="1">IFERROR(__xludf.DUMMYFUNCTION("""COMPUTED_VALUE"""),42309)</f>
        <v>42309</v>
      </c>
      <c r="L483" s="12"/>
      <c r="M483" s="12"/>
      <c r="N483" s="12" t="str">
        <f ca="1">IFERROR(__xludf.DUMMYFUNCTION("""COMPUTED_VALUE"""),"Table1")</f>
        <v>Table1</v>
      </c>
    </row>
    <row r="484" spans="1:14" ht="15.75" customHeight="1" x14ac:dyDescent="0.35">
      <c r="A484" s="12" t="str">
        <f ca="1">IFERROR(__xludf.DUMMYFUNCTION("""COMPUTED_VALUE"""),"Miller, Paul E")</f>
        <v>Miller, Paul E</v>
      </c>
      <c r="B484" s="12" t="str">
        <f ca="1">IFERROR(__xludf.DUMMYFUNCTION("""COMPUTED_VALUE""")," Paul E Miller")</f>
        <v xml:space="preserve"> Paul E Miller</v>
      </c>
      <c r="C484" s="12" t="str">
        <f ca="1">IFERROR(__xludf.DUMMYFUNCTION("""COMPUTED_VALUE"""),"A Praying Life")</f>
        <v>A Praying Life</v>
      </c>
      <c r="D484" s="12"/>
      <c r="E484" s="12" t="str">
        <f ca="1">IFERROR(__xludf.DUMMYFUNCTION("""COMPUTED_VALUE"""),"Book")</f>
        <v>Book</v>
      </c>
      <c r="F484" s="12" t="str">
        <f ca="1">IFERROR(__xludf.DUMMYFUNCTION("""COMPUTED_VALUE"""),"Discipleship")</f>
        <v>Discipleship</v>
      </c>
      <c r="G484" s="12"/>
      <c r="H484" s="12"/>
      <c r="I484" s="12"/>
      <c r="J484" s="12" t="str">
        <f ca="1">IFERROR(__xludf.DUMMYFUNCTION("""COMPUTED_VALUE"""),"Prayer")</f>
        <v>Prayer</v>
      </c>
      <c r="K484" s="13">
        <f ca="1">IFERROR(__xludf.DUMMYFUNCTION("""COMPUTED_VALUE"""),40858)</f>
        <v>40858</v>
      </c>
      <c r="L484" s="12"/>
      <c r="M484" s="12"/>
      <c r="N484" s="12" t="str">
        <f ca="1">IFERROR(__xludf.DUMMYFUNCTION("""COMPUTED_VALUE"""),"Table1")</f>
        <v>Table1</v>
      </c>
    </row>
    <row r="485" spans="1:14" ht="15.75" customHeight="1" x14ac:dyDescent="0.35">
      <c r="A485" s="12" t="str">
        <f ca="1">IFERROR(__xludf.DUMMYFUNCTION("""COMPUTED_VALUE"""),"Miller, Rachel Green")</f>
        <v>Miller, Rachel Green</v>
      </c>
      <c r="B485" s="12" t="str">
        <f ca="1">IFERROR(__xludf.DUMMYFUNCTION("""COMPUTED_VALUE""")," Rachel Green Miller")</f>
        <v xml:space="preserve"> Rachel Green Miller</v>
      </c>
      <c r="C485" s="12" t="str">
        <f ca="1">IFERROR(__xludf.DUMMYFUNCTION("""COMPUTED_VALUE"""),"Beyond Authority and Submission: Women and Men in Marriage, Church, and Society")</f>
        <v>Beyond Authority and Submission: Women and Men in Marriage, Church, and Society</v>
      </c>
      <c r="D485" s="12"/>
      <c r="E485" s="12" t="str">
        <f ca="1">IFERROR(__xludf.DUMMYFUNCTION("""COMPUTED_VALUE"""),"Book")</f>
        <v>Book</v>
      </c>
      <c r="F485" s="12" t="str">
        <f ca="1">IFERROR(__xludf.DUMMYFUNCTION("""COMPUTED_VALUE"""),"Understanding Mankind")</f>
        <v>Understanding Mankind</v>
      </c>
      <c r="G485" s="12"/>
      <c r="H485" s="12"/>
      <c r="I485" s="12"/>
      <c r="J485" s="12" t="str">
        <f ca="1">IFERROR(__xludf.DUMMYFUNCTION("""COMPUTED_VALUE"""),"Marriage, Gener Roles, Society")</f>
        <v>Marriage, Gener Roles, Society</v>
      </c>
      <c r="K485" s="13">
        <f ca="1">IFERROR(__xludf.DUMMYFUNCTION("""COMPUTED_VALUE"""),43832)</f>
        <v>43832</v>
      </c>
      <c r="L485" s="12"/>
      <c r="M485" s="12"/>
      <c r="N485" s="12" t="str">
        <f ca="1">IFERROR(__xludf.DUMMYFUNCTION("""COMPUTED_VALUE"""),"Table1")</f>
        <v>Table1</v>
      </c>
    </row>
    <row r="486" spans="1:14" ht="15.75" customHeight="1" x14ac:dyDescent="0.35">
      <c r="A486" s="12" t="str">
        <f ca="1">IFERROR(__xludf.DUMMYFUNCTION("""COMPUTED_VALUE"""),"Miller, Rose Marie")</f>
        <v>Miller, Rose Marie</v>
      </c>
      <c r="B486" s="12" t="str">
        <f ca="1">IFERROR(__xludf.DUMMYFUNCTION("""COMPUTED_VALUE""")," Rose Marie Miller")</f>
        <v xml:space="preserve"> Rose Marie Miller</v>
      </c>
      <c r="C486" s="12" t="str">
        <f ca="1">IFERROR(__xludf.DUMMYFUNCTION("""COMPUTED_VALUE"""),"The Gospel-Centered Parent Study Guide")</f>
        <v>The Gospel-Centered Parent Study Guide</v>
      </c>
      <c r="D486" s="12" t="str">
        <f ca="1">IFERROR(__xludf.DUMMYFUNCTION("""COMPUTED_VALUE"""),"Harrell, Klumpenhower")</f>
        <v>Harrell, Klumpenhower</v>
      </c>
      <c r="E486" s="12" t="str">
        <f ca="1">IFERROR(__xludf.DUMMYFUNCTION("""COMPUTED_VALUE"""),"Book")</f>
        <v>Book</v>
      </c>
      <c r="F486" s="12" t="str">
        <f ca="1">IFERROR(__xludf.DUMMYFUNCTION("""COMPUTED_VALUE"""),"Understanding Mankind")</f>
        <v>Understanding Mankind</v>
      </c>
      <c r="G486" s="12"/>
      <c r="H486" s="12"/>
      <c r="I486" s="12" t="str">
        <f ca="1">IFERROR(__xludf.DUMMYFUNCTION("""COMPUTED_VALUE"""),"Parenting")</f>
        <v>Parenting</v>
      </c>
      <c r="J486" s="12" t="str">
        <f ca="1">IFERROR(__xludf.DUMMYFUNCTION("""COMPUTED_VALUE"""),"Parenting")</f>
        <v>Parenting</v>
      </c>
      <c r="K486" s="13">
        <f ca="1">IFERROR(__xludf.DUMMYFUNCTION("""COMPUTED_VALUE"""),42231)</f>
        <v>42231</v>
      </c>
      <c r="L486" s="12"/>
      <c r="M486" s="12"/>
      <c r="N486" s="12" t="str">
        <f ca="1">IFERROR(__xludf.DUMMYFUNCTION("""COMPUTED_VALUE"""),"Table1")</f>
        <v>Table1</v>
      </c>
    </row>
    <row r="487" spans="1:14" ht="15.75" customHeight="1" x14ac:dyDescent="0.35">
      <c r="A487" s="12" t="str">
        <f ca="1">IFERROR(__xludf.DUMMYFUNCTION("""COMPUTED_VALUE"""),"Miller, Rose Marie")</f>
        <v>Miller, Rose Marie</v>
      </c>
      <c r="B487" s="12" t="str">
        <f ca="1">IFERROR(__xludf.DUMMYFUNCTION("""COMPUTED_VALUE""")," Rose Marie Miller")</f>
        <v xml:space="preserve"> Rose Marie Miller</v>
      </c>
      <c r="C487" s="12" t="str">
        <f ca="1">IFERROR(__xludf.DUMMYFUNCTION("""COMPUTED_VALUE"""),"Nothing Is Impossible With God")</f>
        <v>Nothing Is Impossible With God</v>
      </c>
      <c r="D487" s="12"/>
      <c r="E487" s="12" t="str">
        <f ca="1">IFERROR(__xludf.DUMMYFUNCTION("""COMPUTED_VALUE"""),"Book")</f>
        <v>Book</v>
      </c>
      <c r="F487" s="12" t="str">
        <f ca="1">IFERROR(__xludf.DUMMYFUNCTION("""COMPUTED_VALUE"""),"Discipleship")</f>
        <v>Discipleship</v>
      </c>
      <c r="G487" s="12"/>
      <c r="H487" s="12"/>
      <c r="I487" s="12"/>
      <c r="J487" s="12"/>
      <c r="K487" s="13">
        <f ca="1">IFERROR(__xludf.DUMMYFUNCTION("""COMPUTED_VALUE"""),41287)</f>
        <v>41287</v>
      </c>
      <c r="L487" s="12"/>
      <c r="M487" s="12"/>
      <c r="N487" s="12" t="str">
        <f ca="1">IFERROR(__xludf.DUMMYFUNCTION("""COMPUTED_VALUE"""),"Table1")</f>
        <v>Table1</v>
      </c>
    </row>
    <row r="488" spans="1:14" ht="15.75" customHeight="1" x14ac:dyDescent="0.35">
      <c r="A488" s="12" t="str">
        <f ca="1">IFERROR(__xludf.DUMMYFUNCTION("""COMPUTED_VALUE"""),"Miller, Wendell E")</f>
        <v>Miller, Wendell E</v>
      </c>
      <c r="B488" s="12" t="str">
        <f ca="1">IFERROR(__xludf.DUMMYFUNCTION("""COMPUTED_VALUE""")," Wendell E Miller")</f>
        <v xml:space="preserve"> Wendell E Miller</v>
      </c>
      <c r="C488" s="12" t="str">
        <f ca="1">IFERROR(__xludf.DUMMYFUNCTION("""COMPUTED_VALUE"""),"Forgiveness: The Power and the Puzzles")</f>
        <v>Forgiveness: The Power and the Puzzles</v>
      </c>
      <c r="D488" s="12"/>
      <c r="E488" s="12" t="str">
        <f ca="1">IFERROR(__xludf.DUMMYFUNCTION("""COMPUTED_VALUE"""),"Book")</f>
        <v>Book</v>
      </c>
      <c r="F488" s="12" t="str">
        <f ca="1">IFERROR(__xludf.DUMMYFUNCTION("""COMPUTED_VALUE"""),"Understanding Mankind")</f>
        <v>Understanding Mankind</v>
      </c>
      <c r="G488" s="12"/>
      <c r="H488" s="12"/>
      <c r="I488" s="12"/>
      <c r="J488" s="12" t="str">
        <f ca="1">IFERROR(__xludf.DUMMYFUNCTION("""COMPUTED_VALUE"""),"Forgiveness")</f>
        <v>Forgiveness</v>
      </c>
      <c r="K488" s="13">
        <f ca="1">IFERROR(__xludf.DUMMYFUNCTION("""COMPUTED_VALUE"""),40038)</f>
        <v>40038</v>
      </c>
      <c r="L488" s="12"/>
      <c r="M488" s="12"/>
      <c r="N488" s="12" t="str">
        <f ca="1">IFERROR(__xludf.DUMMYFUNCTION("""COMPUTED_VALUE"""),"Table1")</f>
        <v>Table1</v>
      </c>
    </row>
    <row r="489" spans="1:14" ht="15.75" customHeight="1" x14ac:dyDescent="0.35">
      <c r="A489" s="12" t="str">
        <f ca="1">IFERROR(__xludf.DUMMYFUNCTION("""COMPUTED_VALUE"""),"Mitchell, Alison")</f>
        <v>Mitchell, Alison</v>
      </c>
      <c r="B489" s="12" t="str">
        <f ca="1">IFERROR(__xludf.DUMMYFUNCTION("""COMPUTED_VALUE""")," Alison Mitchell")</f>
        <v xml:space="preserve"> Alison Mitchell</v>
      </c>
      <c r="C489" s="12" t="str">
        <f ca="1">IFERROR(__xludf.DUMMYFUNCTION("""COMPUTED_VALUE"""),"The One O'Clock Miracle")</f>
        <v>The One O'Clock Miracle</v>
      </c>
      <c r="D489" s="12"/>
      <c r="E489" s="12" t="str">
        <f ca="1">IFERROR(__xludf.DUMMYFUNCTION("""COMPUTED_VALUE"""),"Book")</f>
        <v>Book</v>
      </c>
      <c r="F489" s="12" t="str">
        <f ca="1">IFERROR(__xludf.DUMMYFUNCTION("""COMPUTED_VALUE"""),"Children")</f>
        <v>Children</v>
      </c>
      <c r="G489" s="12"/>
      <c r="H489" s="12"/>
      <c r="I489" s="12"/>
      <c r="J489" s="12"/>
      <c r="K489" s="13">
        <f ca="1">IFERROR(__xludf.DUMMYFUNCTION("""COMPUTED_VALUE"""),42511)</f>
        <v>42511</v>
      </c>
      <c r="L489" s="12"/>
      <c r="M489" s="12"/>
      <c r="N489" s="12" t="str">
        <f ca="1">IFERROR(__xludf.DUMMYFUNCTION("""COMPUTED_VALUE"""),"Table1")</f>
        <v>Table1</v>
      </c>
    </row>
    <row r="490" spans="1:14" ht="15.75" customHeight="1" x14ac:dyDescent="0.35">
      <c r="A490" s="12" t="str">
        <f ca="1">IFERROR(__xludf.DUMMYFUNCTION("""COMPUTED_VALUE"""),"Mitchell, Alison")</f>
        <v>Mitchell, Alison</v>
      </c>
      <c r="B490" s="12" t="str">
        <f ca="1">IFERROR(__xludf.DUMMYFUNCTION("""COMPUTED_VALUE""")," Alison Mitchell")</f>
        <v xml:space="preserve"> Alison Mitchell</v>
      </c>
      <c r="C490" s="12" t="str">
        <f ca="1">IFERROR(__xludf.DUMMYFUNCTION("""COMPUTED_VALUE"""),"The Storm That Stopped: A True Story About Who Jesus Really Is")</f>
        <v>The Storm That Stopped: A True Story About Who Jesus Really Is</v>
      </c>
      <c r="D490" s="12"/>
      <c r="E490" s="12" t="str">
        <f ca="1">IFERROR(__xludf.DUMMYFUNCTION("""COMPUTED_VALUE"""),"Book")</f>
        <v>Book</v>
      </c>
      <c r="F490" s="12" t="str">
        <f ca="1">IFERROR(__xludf.DUMMYFUNCTION("""COMPUTED_VALUE"""),"Children")</f>
        <v>Children</v>
      </c>
      <c r="G490" s="12"/>
      <c r="H490" s="12"/>
      <c r="I490" s="12"/>
      <c r="J490" s="12"/>
      <c r="K490" s="13"/>
      <c r="L490" s="12"/>
      <c r="M490" s="12"/>
      <c r="N490" s="12" t="str">
        <f ca="1">IFERROR(__xludf.DUMMYFUNCTION("""COMPUTED_VALUE"""),"Table1")</f>
        <v>Table1</v>
      </c>
    </row>
    <row r="491" spans="1:14" ht="15.75" customHeight="1" x14ac:dyDescent="0.35">
      <c r="A491" s="12" t="str">
        <f ca="1">IFERROR(__xludf.DUMMYFUNCTION("""COMPUTED_VALUE"""),"Mitchell, Matthe C")</f>
        <v>Mitchell, Matthe C</v>
      </c>
      <c r="B491" s="12" t="str">
        <f ca="1">IFERROR(__xludf.DUMMYFUNCTION("""COMPUTED_VALUE""")," Matthe C Mitchell")</f>
        <v xml:space="preserve"> Matthe C Mitchell</v>
      </c>
      <c r="C491" s="12" t="str">
        <f ca="1">IFERROR(__xludf.DUMMYFUNCTION("""COMPUTED_VALUE"""),"Resisting Gossip")</f>
        <v>Resisting Gossip</v>
      </c>
      <c r="D491" s="12"/>
      <c r="E491" s="12" t="str">
        <f ca="1">IFERROR(__xludf.DUMMYFUNCTION("""COMPUTED_VALUE"""),"Book")</f>
        <v>Book</v>
      </c>
      <c r="F491" s="12" t="str">
        <f ca="1">IFERROR(__xludf.DUMMYFUNCTION("""COMPUTED_VALUE"""),"Understanding Mankind")</f>
        <v>Understanding Mankind</v>
      </c>
      <c r="G491" s="12"/>
      <c r="H491" s="12"/>
      <c r="I491" s="12"/>
      <c r="J491" s="12" t="str">
        <f ca="1">IFERROR(__xludf.DUMMYFUNCTION("""COMPUTED_VALUE"""),"Relationships")</f>
        <v>Relationships</v>
      </c>
      <c r="K491" s="13">
        <f ca="1">IFERROR(__xludf.DUMMYFUNCTION("""COMPUTED_VALUE"""),41773)</f>
        <v>41773</v>
      </c>
      <c r="L491" s="12"/>
      <c r="M491" s="12"/>
      <c r="N491" s="12" t="str">
        <f ca="1">IFERROR(__xludf.DUMMYFUNCTION("""COMPUTED_VALUE"""),"Table1")</f>
        <v>Table1</v>
      </c>
    </row>
    <row r="492" spans="1:14" ht="15.75" customHeight="1" x14ac:dyDescent="0.35">
      <c r="A492" s="12" t="str">
        <f ca="1">IFERROR(__xludf.DUMMYFUNCTION("""COMPUTED_VALUE"""),"Mohler, Albert")</f>
        <v>Mohler, Albert</v>
      </c>
      <c r="B492" s="12" t="str">
        <f ca="1">IFERROR(__xludf.DUMMYFUNCTION("""COMPUTED_VALUE""")," Albert Mohler")</f>
        <v xml:space="preserve"> Albert Mohler</v>
      </c>
      <c r="C492" s="12" t="str">
        <f ca="1">IFERROR(__xludf.DUMMYFUNCTION("""COMPUTED_VALUE"""),"The Conviction to Lead")</f>
        <v>The Conviction to Lead</v>
      </c>
      <c r="D492" s="12"/>
      <c r="E492" s="12" t="str">
        <f ca="1">IFERROR(__xludf.DUMMYFUNCTION("""COMPUTED_VALUE"""),"Book")</f>
        <v>Book</v>
      </c>
      <c r="F492" s="12" t="str">
        <f ca="1">IFERROR(__xludf.DUMMYFUNCTION("""COMPUTED_VALUE"""),"Discipleship")</f>
        <v>Discipleship</v>
      </c>
      <c r="G492" s="12"/>
      <c r="H492" s="12"/>
      <c r="I492" s="12"/>
      <c r="J492" s="12" t="str">
        <f ca="1">IFERROR(__xludf.DUMMYFUNCTION("""COMPUTED_VALUE"""),"Church Leaders")</f>
        <v>Church Leaders</v>
      </c>
      <c r="K492" s="13">
        <f ca="1">IFERROR(__xludf.DUMMYFUNCTION("""COMPUTED_VALUE"""),41499)</f>
        <v>41499</v>
      </c>
      <c r="L492" s="12"/>
      <c r="M492" s="12"/>
      <c r="N492" s="12" t="str">
        <f ca="1">IFERROR(__xludf.DUMMYFUNCTION("""COMPUTED_VALUE"""),"Table1")</f>
        <v>Table1</v>
      </c>
    </row>
    <row r="493" spans="1:14" ht="15.75" customHeight="1" x14ac:dyDescent="0.35">
      <c r="A493" s="12" t="str">
        <f ca="1">IFERROR(__xludf.DUMMYFUNCTION("""COMPUTED_VALUE"""),"Mohler, R. Albert Jr.")</f>
        <v>Mohler, R. Albert Jr.</v>
      </c>
      <c r="B493" s="12" t="str">
        <f ca="1">IFERROR(__xludf.DUMMYFUNCTION("""COMPUTED_VALUE""")," R. Albert Jr. Mohler")</f>
        <v xml:space="preserve"> R. Albert Jr. Mohler</v>
      </c>
      <c r="C493" s="12" t="str">
        <f ca="1">IFERROR(__xludf.DUMMYFUNCTION("""COMPUTED_VALUE"""),"Culture Shift: Engaging Current Issues with Timeless Truth")</f>
        <v>Culture Shift: Engaging Current Issues with Timeless Truth</v>
      </c>
      <c r="D493" s="12"/>
      <c r="E493" s="12" t="str">
        <f ca="1">IFERROR(__xludf.DUMMYFUNCTION("""COMPUTED_VALUE"""),"Book")</f>
        <v>Book</v>
      </c>
      <c r="F493" s="12" t="str">
        <f ca="1">IFERROR(__xludf.DUMMYFUNCTION("""COMPUTED_VALUE"""),"Worldview")</f>
        <v>Worldview</v>
      </c>
      <c r="G493" s="12"/>
      <c r="H493" s="12"/>
      <c r="I493" s="12"/>
      <c r="J493" s="12" t="str">
        <f ca="1">IFERROR(__xludf.DUMMYFUNCTION("""COMPUTED_VALUE"""),"Digital Age, Postmodernism, Politics, Abortion")</f>
        <v>Digital Age, Postmodernism, Politics, Abortion</v>
      </c>
      <c r="K493" s="13">
        <f ca="1">IFERROR(__xludf.DUMMYFUNCTION("""COMPUTED_VALUE"""),40188)</f>
        <v>40188</v>
      </c>
      <c r="L493" s="12"/>
      <c r="M493" s="12"/>
      <c r="N493" s="12" t="str">
        <f ca="1">IFERROR(__xludf.DUMMYFUNCTION("""COMPUTED_VALUE"""),"Table1")</f>
        <v>Table1</v>
      </c>
    </row>
    <row r="494" spans="1:14" ht="15.75" customHeight="1" x14ac:dyDescent="0.35">
      <c r="A494" s="12" t="str">
        <f ca="1">IFERROR(__xludf.DUMMYFUNCTION("""COMPUTED_VALUE"""),"Mohler, R. Albert Jr.")</f>
        <v>Mohler, R. Albert Jr.</v>
      </c>
      <c r="B494" s="12" t="str">
        <f ca="1">IFERROR(__xludf.DUMMYFUNCTION("""COMPUTED_VALUE""")," R. Albert Jr. Mohler")</f>
        <v xml:space="preserve"> R. Albert Jr. Mohler</v>
      </c>
      <c r="C494" s="12" t="str">
        <f ca="1">IFERROR(__xludf.DUMMYFUNCTION("""COMPUTED_VALUE"""),"We Cannot Be Silent: Speaking Truth to a Culture Redefining Sex, Marriage, and the Very Meaning of Right and Wrong ")</f>
        <v xml:space="preserve">We Cannot Be Silent: Speaking Truth to a Culture Redefining Sex, Marriage, and the Very Meaning of Right and Wrong </v>
      </c>
      <c r="D494" s="12"/>
      <c r="E494" s="12" t="str">
        <f ca="1">IFERROR(__xludf.DUMMYFUNCTION("""COMPUTED_VALUE"""),"Book")</f>
        <v>Book</v>
      </c>
      <c r="F494" s="12" t="str">
        <f ca="1">IFERROR(__xludf.DUMMYFUNCTION("""COMPUTED_VALUE"""),"Worldview")</f>
        <v>Worldview</v>
      </c>
      <c r="G494" s="12"/>
      <c r="H494" s="12"/>
      <c r="I494" s="12"/>
      <c r="J494" s="12" t="str">
        <f ca="1">IFERROR(__xludf.DUMMYFUNCTION("""COMPUTED_VALUE"""),"Sexuality, Homosexuality, Marriage")</f>
        <v>Sexuality, Homosexuality, Marriage</v>
      </c>
      <c r="K494" s="13">
        <f ca="1">IFERROR(__xludf.DUMMYFUNCTION("""COMPUTED_VALUE"""),42511)</f>
        <v>42511</v>
      </c>
      <c r="L494" s="12"/>
      <c r="M494" s="12"/>
      <c r="N494" s="12" t="str">
        <f ca="1">IFERROR(__xludf.DUMMYFUNCTION("""COMPUTED_VALUE"""),"Table1")</f>
        <v>Table1</v>
      </c>
    </row>
    <row r="495" spans="1:14" ht="15.75" customHeight="1" x14ac:dyDescent="0.35">
      <c r="A495" s="12" t="str">
        <f ca="1">IFERROR(__xludf.DUMMYFUNCTION("""COMPUTED_VALUE"""),"Moore, Russell D.")</f>
        <v>Moore, Russell D.</v>
      </c>
      <c r="B495" s="12" t="str">
        <f ca="1">IFERROR(__xludf.DUMMYFUNCTION("""COMPUTED_VALUE""")," Russell D. Moore")</f>
        <v xml:space="preserve"> Russell D. Moore</v>
      </c>
      <c r="C495" s="12" t="str">
        <f ca="1">IFERROR(__xludf.DUMMYFUNCTION("""COMPUTED_VALUE"""),"Tempted and Tried")</f>
        <v>Tempted and Tried</v>
      </c>
      <c r="D495" s="12"/>
      <c r="E495" s="12" t="str">
        <f ca="1">IFERROR(__xludf.DUMMYFUNCTION("""COMPUTED_VALUE"""),"Book")</f>
        <v>Book</v>
      </c>
      <c r="F495" s="12" t="str">
        <f ca="1">IFERROR(__xludf.DUMMYFUNCTION("""COMPUTED_VALUE"""),"Discipleship")</f>
        <v>Discipleship</v>
      </c>
      <c r="G495" s="12"/>
      <c r="H495" s="12"/>
      <c r="I495" s="12"/>
      <c r="J495" s="12" t="str">
        <f ca="1">IFERROR(__xludf.DUMMYFUNCTION("""COMPUTED_VALUE"""),"Sin")</f>
        <v>Sin</v>
      </c>
      <c r="K495" s="13">
        <f ca="1">IFERROR(__xludf.DUMMYFUNCTION("""COMPUTED_VALUE"""),40705)</f>
        <v>40705</v>
      </c>
      <c r="L495" s="12"/>
      <c r="M495" s="12"/>
      <c r="N495" s="12" t="str">
        <f ca="1">IFERROR(__xludf.DUMMYFUNCTION("""COMPUTED_VALUE"""),"Table1")</f>
        <v>Table1</v>
      </c>
    </row>
    <row r="496" spans="1:14" ht="15.75" customHeight="1" x14ac:dyDescent="0.35">
      <c r="A496" s="12" t="str">
        <f ca="1">IFERROR(__xludf.DUMMYFUNCTION("""COMPUTED_VALUE"""),"Morgan, Adam")</f>
        <v>Morgan, Adam</v>
      </c>
      <c r="B496" s="12" t="str">
        <f ca="1">IFERROR(__xludf.DUMMYFUNCTION("""COMPUTED_VALUE""")," Adam Morgan")</f>
        <v xml:space="preserve"> Adam Morgan</v>
      </c>
      <c r="C496" s="12" t="str">
        <f ca="1">IFERROR(__xludf.DUMMYFUNCTION("""COMPUTED_VALUE"""),"Operation Arctic Viking Invasion")</f>
        <v>Operation Arctic Viking Invasion</v>
      </c>
      <c r="D496" s="12" t="str">
        <f ca="1">IFERROR(__xludf.DUMMYFUNCTION("""COMPUTED_VALUE"""),"A Patch the Pirate Book")</f>
        <v>A Patch the Pirate Book</v>
      </c>
      <c r="E496" s="12" t="str">
        <f ca="1">IFERROR(__xludf.DUMMYFUNCTION("""COMPUTED_VALUE"""),"Book")</f>
        <v>Book</v>
      </c>
      <c r="F496" s="12" t="str">
        <f ca="1">IFERROR(__xludf.DUMMYFUNCTION("""COMPUTED_VALUE"""),"Children")</f>
        <v>Children</v>
      </c>
      <c r="G496" s="12"/>
      <c r="H496" s="12"/>
      <c r="I496" s="12"/>
      <c r="J496" s="12"/>
      <c r="K496" s="13">
        <f ca="1">IFERROR(__xludf.DUMMYFUNCTION("""COMPUTED_VALUE"""),43831)</f>
        <v>43831</v>
      </c>
      <c r="L496" s="12"/>
      <c r="M496" s="12"/>
      <c r="N496" s="12" t="str">
        <f ca="1">IFERROR(__xludf.DUMMYFUNCTION("""COMPUTED_VALUE"""),"Table1")</f>
        <v>Table1</v>
      </c>
    </row>
    <row r="497" spans="1:14" ht="15.75" customHeight="1" x14ac:dyDescent="0.35">
      <c r="A497" s="12" t="str">
        <f ca="1">IFERROR(__xludf.DUMMYFUNCTION("""COMPUTED_VALUE"""),"Morgan, Christopher W--ed. ")</f>
        <v xml:space="preserve">Morgan, Christopher W--ed. </v>
      </c>
      <c r="B497" s="12" t="str">
        <f ca="1">IFERROR(__xludf.DUMMYFUNCTION("""COMPUTED_VALUE""")," Christopher W--ed.  Morgan")</f>
        <v xml:space="preserve"> Christopher W--ed.  Morgan</v>
      </c>
      <c r="C497" s="12" t="str">
        <f ca="1">IFERROR(__xludf.DUMMYFUNCTION("""COMPUTED_VALUE"""),"Hell Under Fire")</f>
        <v>Hell Under Fire</v>
      </c>
      <c r="D497" s="12" t="str">
        <f ca="1">IFERROR(__xludf.DUMMYFUNCTION("""COMPUTED_VALUE"""),"Peterson")</f>
        <v>Peterson</v>
      </c>
      <c r="E497" s="12" t="str">
        <f ca="1">IFERROR(__xludf.DUMMYFUNCTION("""COMPUTED_VALUE"""),"Book")</f>
        <v>Book</v>
      </c>
      <c r="F497" s="12" t="str">
        <f ca="1">IFERROR(__xludf.DUMMYFUNCTION("""COMPUTED_VALUE"""),"Theology")</f>
        <v>Theology</v>
      </c>
      <c r="G497" s="12"/>
      <c r="H497" s="12"/>
      <c r="I497" s="12"/>
      <c r="J497" s="12"/>
      <c r="K497" s="13">
        <f ca="1">IFERROR(__xludf.DUMMYFUNCTION("""COMPUTED_VALUE"""),40827)</f>
        <v>40827</v>
      </c>
      <c r="L497" s="12"/>
      <c r="M497" s="12"/>
      <c r="N497" s="12" t="str">
        <f ca="1">IFERROR(__xludf.DUMMYFUNCTION("""COMPUTED_VALUE"""),"Table1")</f>
        <v>Table1</v>
      </c>
    </row>
    <row r="498" spans="1:14" ht="15.75" customHeight="1" x14ac:dyDescent="0.35">
      <c r="A498" s="12" t="str">
        <f ca="1">IFERROR(__xludf.DUMMYFUNCTION("""COMPUTED_VALUE"""),"Morris, Leon")</f>
        <v>Morris, Leon</v>
      </c>
      <c r="B498" s="12" t="str">
        <f ca="1">IFERROR(__xludf.DUMMYFUNCTION("""COMPUTED_VALUE""")," Leon Morris")</f>
        <v xml:space="preserve"> Leon Morris</v>
      </c>
      <c r="C498" s="12" t="str">
        <f ca="1">IFERROR(__xludf.DUMMYFUNCTION("""COMPUTED_VALUE"""),"The Gospel According to Matthew")</f>
        <v>The Gospel According to Matthew</v>
      </c>
      <c r="D498" s="12"/>
      <c r="E498" s="12" t="str">
        <f ca="1">IFERROR(__xludf.DUMMYFUNCTION("""COMPUTED_VALUE"""),"Book")</f>
        <v>Book</v>
      </c>
      <c r="F498" s="12" t="str">
        <f ca="1">IFERROR(__xludf.DUMMYFUNCTION("""COMPUTED_VALUE"""),"Reference")</f>
        <v>Reference</v>
      </c>
      <c r="G498" s="12"/>
      <c r="H498" s="12"/>
      <c r="I498" s="12"/>
      <c r="J498" s="12"/>
      <c r="K498" s="13">
        <f ca="1">IFERROR(__xludf.DUMMYFUNCTION("""COMPUTED_VALUE"""),41712)</f>
        <v>41712</v>
      </c>
      <c r="L498" s="12"/>
      <c r="M498" s="12"/>
      <c r="N498" s="12" t="str">
        <f ca="1">IFERROR(__xludf.DUMMYFUNCTION("""COMPUTED_VALUE"""),"Table1")</f>
        <v>Table1</v>
      </c>
    </row>
    <row r="499" spans="1:14" ht="15.75" customHeight="1" x14ac:dyDescent="0.35">
      <c r="A499" s="12" t="str">
        <f ca="1">IFERROR(__xludf.DUMMYFUNCTION("""COMPUTED_VALUE"""),"Morris, Leon")</f>
        <v>Morris, Leon</v>
      </c>
      <c r="B499" s="12" t="str">
        <f ca="1">IFERROR(__xludf.DUMMYFUNCTION("""COMPUTED_VALUE""")," Leon Morris")</f>
        <v xml:space="preserve"> Leon Morris</v>
      </c>
      <c r="C499" s="12" t="str">
        <f ca="1">IFERROR(__xludf.DUMMYFUNCTION("""COMPUTED_VALUE"""),"Luke")</f>
        <v>Luke</v>
      </c>
      <c r="D499" s="12"/>
      <c r="E499" s="12" t="str">
        <f ca="1">IFERROR(__xludf.DUMMYFUNCTION("""COMPUTED_VALUE"""),"Book")</f>
        <v>Book</v>
      </c>
      <c r="F499" s="12" t="str">
        <f ca="1">IFERROR(__xludf.DUMMYFUNCTION("""COMPUTED_VALUE"""),"Reference")</f>
        <v>Reference</v>
      </c>
      <c r="G499" s="12"/>
      <c r="H499" s="12"/>
      <c r="I499" s="12"/>
      <c r="J499" s="12"/>
      <c r="K499" s="13">
        <f ca="1">IFERROR(__xludf.DUMMYFUNCTION("""COMPUTED_VALUE"""),41346)</f>
        <v>41346</v>
      </c>
      <c r="L499" s="12"/>
      <c r="M499" s="12"/>
      <c r="N499" s="12" t="str">
        <f ca="1">IFERROR(__xludf.DUMMYFUNCTION("""COMPUTED_VALUE"""),"Table1")</f>
        <v>Table1</v>
      </c>
    </row>
    <row r="500" spans="1:14" ht="15.75" customHeight="1" x14ac:dyDescent="0.35">
      <c r="A500" s="12" t="str">
        <f ca="1">IFERROR(__xludf.DUMMYFUNCTION("""COMPUTED_VALUE"""),"Morrison, Steve")</f>
        <v>Morrison, Steve</v>
      </c>
      <c r="B500" s="12" t="str">
        <f ca="1">IFERROR(__xludf.DUMMYFUNCTION("""COMPUTED_VALUE""")," Steve Morrison")</f>
        <v xml:space="preserve"> Steve Morrison</v>
      </c>
      <c r="C500" s="12" t="str">
        <f ca="1">IFERROR(__xludf.DUMMYFUNCTION("""COMPUTED_VALUE"""),"Born This Way")</f>
        <v>Born This Way</v>
      </c>
      <c r="D500" s="12"/>
      <c r="E500" s="12" t="str">
        <f ca="1">IFERROR(__xludf.DUMMYFUNCTION("""COMPUTED_VALUE"""),"Book")</f>
        <v>Book</v>
      </c>
      <c r="F500" s="12" t="str">
        <f ca="1">IFERROR(__xludf.DUMMYFUNCTION("""COMPUTED_VALUE"""),"Understanding Mankind")</f>
        <v>Understanding Mankind</v>
      </c>
      <c r="G500" s="12"/>
      <c r="H500" s="12"/>
      <c r="I500" s="12"/>
      <c r="J500" s="12" t="str">
        <f ca="1">IFERROR(__xludf.DUMMYFUNCTION("""COMPUTED_VALUE"""),"Homosexuality")</f>
        <v>Homosexuality</v>
      </c>
      <c r="K500" s="13">
        <f ca="1">IFERROR(__xludf.DUMMYFUNCTION("""COMPUTED_VALUE"""),42511)</f>
        <v>42511</v>
      </c>
      <c r="L500" s="12"/>
      <c r="M500" s="12"/>
      <c r="N500" s="12" t="str">
        <f ca="1">IFERROR(__xludf.DUMMYFUNCTION("""COMPUTED_VALUE"""),"Table1")</f>
        <v>Table1</v>
      </c>
    </row>
    <row r="501" spans="1:14" ht="15.75" customHeight="1" x14ac:dyDescent="0.35">
      <c r="A501" s="12" t="str">
        <f ca="1">IFERROR(__xludf.DUMMYFUNCTION("""COMPUTED_VALUE"""),"Murray, Iain H")</f>
        <v>Murray, Iain H</v>
      </c>
      <c r="B501" s="12" t="str">
        <f ca="1">IFERROR(__xludf.DUMMYFUNCTION("""COMPUTED_VALUE""")," Iain H Murray")</f>
        <v xml:space="preserve"> Iain H Murray</v>
      </c>
      <c r="C501" s="12" t="str">
        <f ca="1">IFERROR(__xludf.DUMMYFUNCTION("""COMPUTED_VALUE"""),"Evangelicalism Divided")</f>
        <v>Evangelicalism Divided</v>
      </c>
      <c r="D501" s="12"/>
      <c r="E501" s="12" t="str">
        <f ca="1">IFERROR(__xludf.DUMMYFUNCTION("""COMPUTED_VALUE"""),"Book")</f>
        <v>Book</v>
      </c>
      <c r="F501" s="12" t="str">
        <f ca="1">IFERROR(__xludf.DUMMYFUNCTION("""COMPUTED_VALUE"""),"Church History")</f>
        <v>Church History</v>
      </c>
      <c r="G501" s="12"/>
      <c r="H501" s="12"/>
      <c r="I501" s="12"/>
      <c r="J501" s="12" t="str">
        <f ca="1">IFERROR(__xludf.DUMMYFUNCTION("""COMPUTED_VALUE"""),"History")</f>
        <v>History</v>
      </c>
      <c r="K501" s="13">
        <f ca="1">IFERROR(__xludf.DUMMYFUNCTION("""COMPUTED_VALUE"""),40039)</f>
        <v>40039</v>
      </c>
      <c r="L501" s="12"/>
      <c r="M501" s="12"/>
      <c r="N501" s="12" t="str">
        <f ca="1">IFERROR(__xludf.DUMMYFUNCTION("""COMPUTED_VALUE"""),"Table1")</f>
        <v>Table1</v>
      </c>
    </row>
    <row r="502" spans="1:14" ht="15.75" customHeight="1" x14ac:dyDescent="0.35">
      <c r="A502" s="12" t="str">
        <f ca="1">IFERROR(__xludf.DUMMYFUNCTION("""COMPUTED_VALUE"""),"Murray, Iain H")</f>
        <v>Murray, Iain H</v>
      </c>
      <c r="B502" s="12" t="str">
        <f ca="1">IFERROR(__xludf.DUMMYFUNCTION("""COMPUTED_VALUE""")," Iain H Murray")</f>
        <v xml:space="preserve"> Iain H Murray</v>
      </c>
      <c r="C502" s="12" t="str">
        <f ca="1">IFERROR(__xludf.DUMMYFUNCTION("""COMPUTED_VALUE"""),"J.C. Ryle: Prepared to Stand Alone")</f>
        <v>J.C. Ryle: Prepared to Stand Alone</v>
      </c>
      <c r="D502" s="12"/>
      <c r="E502" s="12" t="str">
        <f ca="1">IFERROR(__xludf.DUMMYFUNCTION("""COMPUTED_VALUE"""),"Book")</f>
        <v>Book</v>
      </c>
      <c r="F502" s="12" t="str">
        <f ca="1">IFERROR(__xludf.DUMMYFUNCTION("""COMPUTED_VALUE"""),"Biography")</f>
        <v>Biography</v>
      </c>
      <c r="G502" s="12"/>
      <c r="H502" s="12"/>
      <c r="I502" s="12"/>
      <c r="J502" s="12"/>
      <c r="K502" s="13">
        <f ca="1">IFERROR(__xludf.DUMMYFUNCTION("""COMPUTED_VALUE"""),42693)</f>
        <v>42693</v>
      </c>
      <c r="L502" s="12"/>
      <c r="M502" s="12"/>
      <c r="N502" s="12" t="str">
        <f ca="1">IFERROR(__xludf.DUMMYFUNCTION("""COMPUTED_VALUE"""),"Table1")</f>
        <v>Table1</v>
      </c>
    </row>
    <row r="503" spans="1:14" ht="15.75" customHeight="1" x14ac:dyDescent="0.35">
      <c r="A503" s="12" t="str">
        <f ca="1">IFERROR(__xludf.DUMMYFUNCTION("""COMPUTED_VALUE"""),"Murray, Iain H")</f>
        <v>Murray, Iain H</v>
      </c>
      <c r="B503" s="12" t="str">
        <f ca="1">IFERROR(__xludf.DUMMYFUNCTION("""COMPUTED_VALUE""")," Iain H Murray")</f>
        <v xml:space="preserve"> Iain H Murray</v>
      </c>
      <c r="C503" s="12" t="str">
        <f ca="1">IFERROR(__xludf.DUMMYFUNCTION("""COMPUTED_VALUE"""),"John MacArthur: Servant of the Word and Flock")</f>
        <v>John MacArthur: Servant of the Word and Flock</v>
      </c>
      <c r="D503" s="12"/>
      <c r="E503" s="12" t="str">
        <f ca="1">IFERROR(__xludf.DUMMYFUNCTION("""COMPUTED_VALUE"""),"Book")</f>
        <v>Book</v>
      </c>
      <c r="F503" s="12" t="str">
        <f ca="1">IFERROR(__xludf.DUMMYFUNCTION("""COMPUTED_VALUE"""),"Biography")</f>
        <v>Biography</v>
      </c>
      <c r="G503" s="12"/>
      <c r="H503" s="12"/>
      <c r="I503" s="12"/>
      <c r="J503" s="12"/>
      <c r="K503" s="13">
        <f ca="1">IFERROR(__xludf.DUMMYFUNCTION("""COMPUTED_VALUE"""),42966)</f>
        <v>42966</v>
      </c>
      <c r="L503" s="12"/>
      <c r="M503" s="12"/>
      <c r="N503" s="12" t="str">
        <f ca="1">IFERROR(__xludf.DUMMYFUNCTION("""COMPUTED_VALUE"""),"Table1")</f>
        <v>Table1</v>
      </c>
    </row>
    <row r="504" spans="1:14" ht="15.75" customHeight="1" x14ac:dyDescent="0.35">
      <c r="A504" s="12" t="str">
        <f ca="1">IFERROR(__xludf.DUMMYFUNCTION("""COMPUTED_VALUE"""),"Murray, Iain H")</f>
        <v>Murray, Iain H</v>
      </c>
      <c r="B504" s="12" t="str">
        <f ca="1">IFERROR(__xludf.DUMMYFUNCTION("""COMPUTED_VALUE""")," Iain H Murray")</f>
        <v xml:space="preserve"> Iain H Murray</v>
      </c>
      <c r="C504" s="12" t="str">
        <f ca="1">IFERROR(__xludf.DUMMYFUNCTION("""COMPUTED_VALUE"""),"Jonathan Edwards: A New Biography")</f>
        <v>Jonathan Edwards: A New Biography</v>
      </c>
      <c r="D504" s="12"/>
      <c r="E504" s="12" t="str">
        <f ca="1">IFERROR(__xludf.DUMMYFUNCTION("""COMPUTED_VALUE"""),"Book")</f>
        <v>Book</v>
      </c>
      <c r="F504" s="12" t="str">
        <f ca="1">IFERROR(__xludf.DUMMYFUNCTION("""COMPUTED_VALUE"""),"Biography")</f>
        <v>Biography</v>
      </c>
      <c r="G504" s="12"/>
      <c r="H504" s="12"/>
      <c r="I504" s="12"/>
      <c r="J504" s="12"/>
      <c r="K504" s="13">
        <f ca="1">IFERROR(__xludf.DUMMYFUNCTION("""COMPUTED_VALUE"""),40040)</f>
        <v>40040</v>
      </c>
      <c r="L504" s="12"/>
      <c r="M504" s="12"/>
      <c r="N504" s="12" t="str">
        <f ca="1">IFERROR(__xludf.DUMMYFUNCTION("""COMPUTED_VALUE"""),"Table1")</f>
        <v>Table1</v>
      </c>
    </row>
    <row r="505" spans="1:14" ht="15.75" customHeight="1" x14ac:dyDescent="0.35">
      <c r="A505" s="12" t="str">
        <f ca="1">IFERROR(__xludf.DUMMYFUNCTION("""COMPUTED_VALUE"""),"Murray, Iain H")</f>
        <v>Murray, Iain H</v>
      </c>
      <c r="B505" s="12" t="str">
        <f ca="1">IFERROR(__xludf.DUMMYFUNCTION("""COMPUTED_VALUE""")," Iain H Murray")</f>
        <v xml:space="preserve"> Iain H Murray</v>
      </c>
      <c r="C505" s="12" t="str">
        <f ca="1">IFERROR(__xludf.DUMMYFUNCTION("""COMPUTED_VALUE"""),"The Life of John Murray")</f>
        <v>The Life of John Murray</v>
      </c>
      <c r="D505" s="12"/>
      <c r="E505" s="12" t="str">
        <f ca="1">IFERROR(__xludf.DUMMYFUNCTION("""COMPUTED_VALUE"""),"Book")</f>
        <v>Book</v>
      </c>
      <c r="F505" s="12" t="str">
        <f ca="1">IFERROR(__xludf.DUMMYFUNCTION("""COMPUTED_VALUE"""),"Biography")</f>
        <v>Biography</v>
      </c>
      <c r="G505" s="12"/>
      <c r="H505" s="12"/>
      <c r="I505" s="12"/>
      <c r="J505" s="12"/>
      <c r="K505" s="13">
        <f ca="1">IFERROR(__xludf.DUMMYFUNCTION("""COMPUTED_VALUE"""),40041)</f>
        <v>40041</v>
      </c>
      <c r="L505" s="12"/>
      <c r="M505" s="12"/>
      <c r="N505" s="12" t="str">
        <f ca="1">IFERROR(__xludf.DUMMYFUNCTION("""COMPUTED_VALUE"""),"Table1")</f>
        <v>Table1</v>
      </c>
    </row>
    <row r="506" spans="1:14" ht="15.75" customHeight="1" x14ac:dyDescent="0.35">
      <c r="A506" s="12" t="str">
        <f ca="1">IFERROR(__xludf.DUMMYFUNCTION("""COMPUTED_VALUE"""),"Murray, Iain H")</f>
        <v>Murray, Iain H</v>
      </c>
      <c r="B506" s="12" t="str">
        <f ca="1">IFERROR(__xludf.DUMMYFUNCTION("""COMPUTED_VALUE""")," Iain H Murray")</f>
        <v xml:space="preserve"> Iain H Murray</v>
      </c>
      <c r="C506" s="12" t="str">
        <f ca="1">IFERROR(__xludf.DUMMYFUNCTION("""COMPUTED_VALUE"""),"Lloyd-Jones: Messenger of Grace")</f>
        <v>Lloyd-Jones: Messenger of Grace</v>
      </c>
      <c r="D506" s="12"/>
      <c r="E506" s="12" t="str">
        <f ca="1">IFERROR(__xludf.DUMMYFUNCTION("""COMPUTED_VALUE"""),"Book")</f>
        <v>Book</v>
      </c>
      <c r="F506" s="12" t="str">
        <f ca="1">IFERROR(__xludf.DUMMYFUNCTION("""COMPUTED_VALUE"""),"Biography")</f>
        <v>Biography</v>
      </c>
      <c r="G506" s="12"/>
      <c r="H506" s="12"/>
      <c r="I506" s="12"/>
      <c r="J506" s="12"/>
      <c r="K506" s="13">
        <f ca="1">IFERROR(__xludf.DUMMYFUNCTION("""COMPUTED_VALUE"""),40042)</f>
        <v>40042</v>
      </c>
      <c r="L506" s="12"/>
      <c r="M506" s="12"/>
      <c r="N506" s="12" t="str">
        <f ca="1">IFERROR(__xludf.DUMMYFUNCTION("""COMPUTED_VALUE"""),"Table1")</f>
        <v>Table1</v>
      </c>
    </row>
    <row r="507" spans="1:14" ht="15.75" customHeight="1" x14ac:dyDescent="0.35">
      <c r="A507" s="12" t="str">
        <f ca="1">IFERROR(__xludf.DUMMYFUNCTION("""COMPUTED_VALUE"""),"Murray, Iain H")</f>
        <v>Murray, Iain H</v>
      </c>
      <c r="B507" s="12" t="str">
        <f ca="1">IFERROR(__xludf.DUMMYFUNCTION("""COMPUTED_VALUE""")," Iain H Murray")</f>
        <v xml:space="preserve"> Iain H Murray</v>
      </c>
      <c r="C507" s="12" t="str">
        <f ca="1">IFERROR(__xludf.DUMMYFUNCTION("""COMPUTED_VALUE"""),"Pentecost--Today?: The Biblical Basis for Understanding Revival ")</f>
        <v xml:space="preserve">Pentecost--Today?: The Biblical Basis for Understanding Revival </v>
      </c>
      <c r="D507" s="12"/>
      <c r="E507" s="12" t="str">
        <f ca="1">IFERROR(__xludf.DUMMYFUNCTION("""COMPUTED_VALUE"""),"Book")</f>
        <v>Book</v>
      </c>
      <c r="F507" s="12" t="str">
        <f ca="1">IFERROR(__xludf.DUMMYFUNCTION("""COMPUTED_VALUE"""),"Church History")</f>
        <v>Church History</v>
      </c>
      <c r="G507" s="12"/>
      <c r="H507" s="12"/>
      <c r="I507" s="12"/>
      <c r="J507" s="12" t="str">
        <f ca="1">IFERROR(__xludf.DUMMYFUNCTION("""COMPUTED_VALUE"""),"History")</f>
        <v>History</v>
      </c>
      <c r="K507" s="13">
        <f ca="1">IFERROR(__xludf.DUMMYFUNCTION("""COMPUTED_VALUE"""),40043)</f>
        <v>40043</v>
      </c>
      <c r="L507" s="12"/>
      <c r="M507" s="12"/>
      <c r="N507" s="12" t="str">
        <f ca="1">IFERROR(__xludf.DUMMYFUNCTION("""COMPUTED_VALUE"""),"Table1")</f>
        <v>Table1</v>
      </c>
    </row>
    <row r="508" spans="1:14" ht="15.75" customHeight="1" x14ac:dyDescent="0.35">
      <c r="A508" s="12" t="str">
        <f ca="1">IFERROR(__xludf.DUMMYFUNCTION("""COMPUTED_VALUE"""),"Murray, Iain H")</f>
        <v>Murray, Iain H</v>
      </c>
      <c r="B508" s="12" t="str">
        <f ca="1">IFERROR(__xludf.DUMMYFUNCTION("""COMPUTED_VALUE""")," Iain H Murray")</f>
        <v xml:space="preserve"> Iain H Murray</v>
      </c>
      <c r="C508" s="12" t="str">
        <f ca="1">IFERROR(__xludf.DUMMYFUNCTION("""COMPUTED_VALUE"""),"Revival &amp; Revivalism  ")</f>
        <v xml:space="preserve">Revival &amp; Revivalism  </v>
      </c>
      <c r="D508" s="12"/>
      <c r="E508" s="12" t="str">
        <f ca="1">IFERROR(__xludf.DUMMYFUNCTION("""COMPUTED_VALUE"""),"Book")</f>
        <v>Book</v>
      </c>
      <c r="F508" s="12" t="str">
        <f ca="1">IFERROR(__xludf.DUMMYFUNCTION("""COMPUTED_VALUE"""),"Church History")</f>
        <v>Church History</v>
      </c>
      <c r="G508" s="12"/>
      <c r="H508" s="12"/>
      <c r="I508" s="12"/>
      <c r="J508" s="12" t="str">
        <f ca="1">IFERROR(__xludf.DUMMYFUNCTION("""COMPUTED_VALUE"""),"History")</f>
        <v>History</v>
      </c>
      <c r="K508" s="13">
        <f ca="1">IFERROR(__xludf.DUMMYFUNCTION("""COMPUTED_VALUE"""),40044)</f>
        <v>40044</v>
      </c>
      <c r="L508" s="12"/>
      <c r="M508" s="12"/>
      <c r="N508" s="12" t="str">
        <f ca="1">IFERROR(__xludf.DUMMYFUNCTION("""COMPUTED_VALUE"""),"Table1")</f>
        <v>Table1</v>
      </c>
    </row>
    <row r="509" spans="1:14" ht="15.75" customHeight="1" x14ac:dyDescent="0.35">
      <c r="A509" s="12" t="str">
        <f ca="1">IFERROR(__xludf.DUMMYFUNCTION("""COMPUTED_VALUE"""),"Murray, Iain H.")</f>
        <v>Murray, Iain H.</v>
      </c>
      <c r="B509" s="12" t="str">
        <f ca="1">IFERROR(__xludf.DUMMYFUNCTION("""COMPUTED_VALUE""")," Iain H. Murray")</f>
        <v xml:space="preserve"> Iain H. Murray</v>
      </c>
      <c r="C509" s="12" t="str">
        <f ca="1">IFERROR(__xludf.DUMMYFUNCTION("""COMPUTED_VALUE"""),"Amy Carmichael: Beauty for Ashes")</f>
        <v>Amy Carmichael: Beauty for Ashes</v>
      </c>
      <c r="D509" s="12"/>
      <c r="E509" s="12" t="str">
        <f ca="1">IFERROR(__xludf.DUMMYFUNCTION("""COMPUTED_VALUE"""),"Book")</f>
        <v>Book</v>
      </c>
      <c r="F509" s="12" t="str">
        <f ca="1">IFERROR(__xludf.DUMMYFUNCTION("""COMPUTED_VALUE"""),"Biography")</f>
        <v>Biography</v>
      </c>
      <c r="G509" s="12"/>
      <c r="H509" s="12"/>
      <c r="I509" s="12"/>
      <c r="J509" s="12" t="str">
        <f ca="1">IFERROR(__xludf.DUMMYFUNCTION("""COMPUTED_VALUE"""),"Missions")</f>
        <v>Missions</v>
      </c>
      <c r="K509" s="13"/>
      <c r="L509" s="12"/>
      <c r="M509" s="12"/>
      <c r="N509" s="12" t="str">
        <f ca="1">IFERROR(__xludf.DUMMYFUNCTION("""COMPUTED_VALUE"""),"Table1")</f>
        <v>Table1</v>
      </c>
    </row>
    <row r="510" spans="1:14" ht="15.75" customHeight="1" x14ac:dyDescent="0.35">
      <c r="A510" s="12" t="str">
        <f ca="1">IFERROR(__xludf.DUMMYFUNCTION("""COMPUTED_VALUE"""),"Murray, Iain H.")</f>
        <v>Murray, Iain H.</v>
      </c>
      <c r="B510" s="12" t="str">
        <f ca="1">IFERROR(__xludf.DUMMYFUNCTION("""COMPUTED_VALUE""")," Iain H. Murray")</f>
        <v xml:space="preserve"> Iain H. Murray</v>
      </c>
      <c r="C510" s="12" t="str">
        <f ca="1">IFERROR(__xludf.DUMMYFUNCTION("""COMPUTED_VALUE"""),"Heroes: An Anthology of Evangelical Heroes")</f>
        <v>Heroes: An Anthology of Evangelical Heroes</v>
      </c>
      <c r="D510" s="12"/>
      <c r="E510" s="12" t="str">
        <f ca="1">IFERROR(__xludf.DUMMYFUNCTION("""COMPUTED_VALUE"""),"Book")</f>
        <v>Book</v>
      </c>
      <c r="F510" s="12" t="str">
        <f ca="1">IFERROR(__xludf.DUMMYFUNCTION("""COMPUTED_VALUE"""),"Biography")</f>
        <v>Biography</v>
      </c>
      <c r="G510" s="12"/>
      <c r="H510" s="12"/>
      <c r="I510" s="12"/>
      <c r="J510" s="12"/>
      <c r="K510" s="13"/>
      <c r="L510" s="12"/>
      <c r="M510" s="12"/>
      <c r="N510" s="12" t="str">
        <f ca="1">IFERROR(__xludf.DUMMYFUNCTION("""COMPUTED_VALUE"""),"Table1")</f>
        <v>Table1</v>
      </c>
    </row>
    <row r="511" spans="1:14" ht="15.75" customHeight="1" x14ac:dyDescent="0.35">
      <c r="A511" s="12" t="str">
        <f ca="1">IFERROR(__xludf.DUMMYFUNCTION("""COMPUTED_VALUE"""),"Murray, Iain H.")</f>
        <v>Murray, Iain H.</v>
      </c>
      <c r="B511" s="12" t="str">
        <f ca="1">IFERROR(__xludf.DUMMYFUNCTION("""COMPUTED_VALUE""")," Iain H. Murray")</f>
        <v xml:space="preserve"> Iain H. Murray</v>
      </c>
      <c r="C511" s="12" t="str">
        <f ca="1">IFERROR(__xludf.DUMMYFUNCTION("""COMPUTED_VALUE"""),"Seven Leaders: Preachers and Pastors")</f>
        <v>Seven Leaders: Preachers and Pastors</v>
      </c>
      <c r="D511" s="12"/>
      <c r="E511" s="12" t="str">
        <f ca="1">IFERROR(__xludf.DUMMYFUNCTION("""COMPUTED_VALUE"""),"Book")</f>
        <v>Book</v>
      </c>
      <c r="F511" s="12" t="str">
        <f ca="1">IFERROR(__xludf.DUMMYFUNCTION("""COMPUTED_VALUE"""),"Biography")</f>
        <v>Biography</v>
      </c>
      <c r="G511" s="12"/>
      <c r="H511" s="12"/>
      <c r="I511" s="12"/>
      <c r="J511" s="12"/>
      <c r="K511" s="13"/>
      <c r="L511" s="12"/>
      <c r="M511" s="12"/>
      <c r="N511" s="12" t="str">
        <f ca="1">IFERROR(__xludf.DUMMYFUNCTION("""COMPUTED_VALUE"""),"Table1")</f>
        <v>Table1</v>
      </c>
    </row>
    <row r="512" spans="1:14" ht="15.75" customHeight="1" x14ac:dyDescent="0.35">
      <c r="A512" s="12" t="str">
        <f ca="1">IFERROR(__xludf.DUMMYFUNCTION("""COMPUTED_VALUE"""),"Murray, John J.")</f>
        <v>Murray, John J.</v>
      </c>
      <c r="B512" s="12" t="str">
        <f ca="1">IFERROR(__xludf.DUMMYFUNCTION("""COMPUTED_VALUE""")," John J. Murray")</f>
        <v xml:space="preserve"> John J. Murray</v>
      </c>
      <c r="C512" s="12" t="str">
        <f ca="1">IFERROR(__xludf.DUMMYFUNCTION("""COMPUTED_VALUE"""),"John Knox")</f>
        <v>John Knox</v>
      </c>
      <c r="D512" s="12" t="str">
        <f ca="1">IFERROR(__xludf.DUMMYFUNCTION("""COMPUTED_VALUE"""),"Bitesize Biographies")</f>
        <v>Bitesize Biographies</v>
      </c>
      <c r="E512" s="12" t="str">
        <f ca="1">IFERROR(__xludf.DUMMYFUNCTION("""COMPUTED_VALUE"""),"Book")</f>
        <v>Book</v>
      </c>
      <c r="F512" s="12" t="str">
        <f ca="1">IFERROR(__xludf.DUMMYFUNCTION("""COMPUTED_VALUE"""),"Biography")</f>
        <v>Biography</v>
      </c>
      <c r="G512" s="12"/>
      <c r="H512" s="12"/>
      <c r="I512" s="12"/>
      <c r="J512" s="12"/>
      <c r="K512" s="13">
        <f ca="1">IFERROR(__xludf.DUMMYFUNCTION("""COMPUTED_VALUE"""),43704)</f>
        <v>43704</v>
      </c>
      <c r="L512" s="12"/>
      <c r="M512" s="12"/>
      <c r="N512" s="12" t="str">
        <f ca="1">IFERROR(__xludf.DUMMYFUNCTION("""COMPUTED_VALUE"""),"Table1")</f>
        <v>Table1</v>
      </c>
    </row>
    <row r="513" spans="1:14" ht="15.75" customHeight="1" x14ac:dyDescent="0.35">
      <c r="A513" s="12" t="str">
        <f ca="1">IFERROR(__xludf.DUMMYFUNCTION("""COMPUTED_VALUE"""),"Murray, Shona and David")</f>
        <v>Murray, Shona and David</v>
      </c>
      <c r="B513" s="12" t="str">
        <f ca="1">IFERROR(__xludf.DUMMYFUNCTION("""COMPUTED_VALUE"""),"#N/A")</f>
        <v>#N/A</v>
      </c>
      <c r="C513" s="12" t="str">
        <f ca="1">IFERROR(__xludf.DUMMYFUNCTION("""COMPUTED_VALUE"""),"Refresh")</f>
        <v>Refresh</v>
      </c>
      <c r="D513" s="12"/>
      <c r="E513" s="12" t="str">
        <f ca="1">IFERROR(__xludf.DUMMYFUNCTION("""COMPUTED_VALUE"""),"book")</f>
        <v>book</v>
      </c>
      <c r="F513" s="12" t="str">
        <f ca="1">IFERROR(__xludf.DUMMYFUNCTION("""COMPUTED_VALUE"""),"Discipleship")</f>
        <v>Discipleship</v>
      </c>
      <c r="G513" s="12"/>
      <c r="H513" s="12"/>
      <c r="I513" s="12"/>
      <c r="J513" s="12"/>
      <c r="K513" s="13">
        <f ca="1">IFERROR(__xludf.DUMMYFUNCTION("""COMPUTED_VALUE"""),43095)</f>
        <v>43095</v>
      </c>
      <c r="L513" s="12"/>
      <c r="M513" s="12"/>
      <c r="N513" s="12" t="str">
        <f ca="1">IFERROR(__xludf.DUMMYFUNCTION("""COMPUTED_VALUE"""),"Table1")</f>
        <v>Table1</v>
      </c>
    </row>
    <row r="514" spans="1:14" ht="15.75" customHeight="1" x14ac:dyDescent="0.35">
      <c r="A514" s="12" t="str">
        <f ca="1">IFERROR(__xludf.DUMMYFUNCTION("""COMPUTED_VALUE"""),"Naselli, Andrew David")</f>
        <v>Naselli, Andrew David</v>
      </c>
      <c r="B514" s="12" t="str">
        <f ca="1">IFERROR(__xludf.DUMMYFUNCTION("""COMPUTED_VALUE""")," Andrew David Naselli")</f>
        <v xml:space="preserve"> Andrew David Naselli</v>
      </c>
      <c r="C514" s="12" t="str">
        <f ca="1">IFERROR(__xludf.DUMMYFUNCTION("""COMPUTED_VALUE"""),"Conscience: What It Is, How to Train It, and Loving Those Who Differ")</f>
        <v>Conscience: What It Is, How to Train It, and Loving Those Who Differ</v>
      </c>
      <c r="D514" s="12" t="str">
        <f ca="1">IFERROR(__xludf.DUMMYFUNCTION("""COMPUTED_VALUE"""),"Crowley")</f>
        <v>Crowley</v>
      </c>
      <c r="E514" s="12" t="str">
        <f ca="1">IFERROR(__xludf.DUMMYFUNCTION("""COMPUTED_VALUE"""),"Book")</f>
        <v>Book</v>
      </c>
      <c r="F514" s="12" t="str">
        <f ca="1">IFERROR(__xludf.DUMMYFUNCTION("""COMPUTED_VALUE"""),"Discipleship")</f>
        <v>Discipleship</v>
      </c>
      <c r="G514" s="12"/>
      <c r="H514" s="12"/>
      <c r="I514" s="12"/>
      <c r="J514" s="12"/>
      <c r="K514" s="13">
        <f ca="1">IFERROR(__xludf.DUMMYFUNCTION("""COMPUTED_VALUE"""),42561)</f>
        <v>42561</v>
      </c>
      <c r="L514" s="12"/>
      <c r="M514" s="12"/>
      <c r="N514" s="12" t="str">
        <f ca="1">IFERROR(__xludf.DUMMYFUNCTION("""COMPUTED_VALUE"""),"Table1")</f>
        <v>Table1</v>
      </c>
    </row>
    <row r="515" spans="1:14" ht="15.75" customHeight="1" x14ac:dyDescent="0.35">
      <c r="A515" s="12" t="str">
        <f ca="1">IFERROR(__xludf.DUMMYFUNCTION("""COMPUTED_VALUE"""),"Naselli, Andrew David")</f>
        <v>Naselli, Andrew David</v>
      </c>
      <c r="B515" s="12" t="str">
        <f ca="1">IFERROR(__xludf.DUMMYFUNCTION("""COMPUTED_VALUE""")," Andrew David Naselli")</f>
        <v xml:space="preserve"> Andrew David Naselli</v>
      </c>
      <c r="C515" s="12" t="str">
        <f ca="1">IFERROR(__xludf.DUMMYFUNCTION("""COMPUTED_VALUE"""),"How to Understand and Apply the New Testament")</f>
        <v>How to Understand and Apply the New Testament</v>
      </c>
      <c r="D515" s="12"/>
      <c r="E515" s="12" t="str">
        <f ca="1">IFERROR(__xludf.DUMMYFUNCTION("""COMPUTED_VALUE"""),"Book")</f>
        <v>Book</v>
      </c>
      <c r="F515" s="12" t="str">
        <f ca="1">IFERROR(__xludf.DUMMYFUNCTION("""COMPUTED_VALUE"""),"Bible")</f>
        <v>Bible</v>
      </c>
      <c r="G515" s="12"/>
      <c r="H515" s="12"/>
      <c r="I515" s="12"/>
      <c r="J515" s="12"/>
      <c r="K515" s="13">
        <f ca="1">IFERROR(__xludf.DUMMYFUNCTION("""COMPUTED_VALUE"""),42856)</f>
        <v>42856</v>
      </c>
      <c r="L515" s="12"/>
      <c r="M515" s="12"/>
      <c r="N515" s="12" t="str">
        <f ca="1">IFERROR(__xludf.DUMMYFUNCTION("""COMPUTED_VALUE"""),"Table1")</f>
        <v>Table1</v>
      </c>
    </row>
    <row r="516" spans="1:14" ht="15.75" customHeight="1" x14ac:dyDescent="0.35">
      <c r="A516" s="12" t="str">
        <f ca="1">IFERROR(__xludf.DUMMYFUNCTION("""COMPUTED_VALUE"""),"Newbell, Trillia")</f>
        <v>Newbell, Trillia</v>
      </c>
      <c r="B516" s="12" t="str">
        <f ca="1">IFERROR(__xludf.DUMMYFUNCTION("""COMPUTED_VALUE""")," Trillia Newbell")</f>
        <v xml:space="preserve"> Trillia Newbell</v>
      </c>
      <c r="C516" s="12" t="str">
        <f ca="1">IFERROR(__xludf.DUMMYFUNCTION("""COMPUTED_VALUE"""),"God's Very Good Idea")</f>
        <v>God's Very Good Idea</v>
      </c>
      <c r="D516" s="12"/>
      <c r="E516" s="12" t="str">
        <f ca="1">IFERROR(__xludf.DUMMYFUNCTION("""COMPUTED_VALUE"""),"Book")</f>
        <v>Book</v>
      </c>
      <c r="F516" s="12" t="str">
        <f ca="1">IFERROR(__xludf.DUMMYFUNCTION("""COMPUTED_VALUE"""),"Children")</f>
        <v>Children</v>
      </c>
      <c r="G516" s="12"/>
      <c r="H516" s="12"/>
      <c r="I516" s="12"/>
      <c r="J516" s="12"/>
      <c r="K516" s="13"/>
      <c r="L516" s="12"/>
      <c r="M516" s="12"/>
      <c r="N516" s="12" t="str">
        <f ca="1">IFERROR(__xludf.DUMMYFUNCTION("""COMPUTED_VALUE"""),"Table1")</f>
        <v>Table1</v>
      </c>
    </row>
    <row r="517" spans="1:14" ht="15.75" customHeight="1" x14ac:dyDescent="0.35">
      <c r="A517" s="12" t="str">
        <f ca="1">IFERROR(__xludf.DUMMYFUNCTION("""COMPUTED_VALUE"""),"Newheiser, Jim")</f>
        <v>Newheiser, Jim</v>
      </c>
      <c r="B517" s="12" t="str">
        <f ca="1">IFERROR(__xludf.DUMMYFUNCTION("""COMPUTED_VALUE""")," Jim Newheiser")</f>
        <v xml:space="preserve"> Jim Newheiser</v>
      </c>
      <c r="C517" s="12" t="str">
        <f ca="1">IFERROR(__xludf.DUMMYFUNCTION("""COMPUTED_VALUE"""),"Marriage Divorce and Remarriage")</f>
        <v>Marriage Divorce and Remarriage</v>
      </c>
      <c r="D517" s="12"/>
      <c r="E517" s="12" t="str">
        <f ca="1">IFERROR(__xludf.DUMMYFUNCTION("""COMPUTED_VALUE"""),"Book")</f>
        <v>Book</v>
      </c>
      <c r="F517" s="12" t="str">
        <f ca="1">IFERROR(__xludf.DUMMYFUNCTION("""COMPUTED_VALUE"""),"Understanding Mankind")</f>
        <v>Understanding Mankind</v>
      </c>
      <c r="G517" s="12"/>
      <c r="H517" s="12"/>
      <c r="I517" s="12"/>
      <c r="J517" s="12" t="str">
        <f ca="1">IFERROR(__xludf.DUMMYFUNCTION("""COMPUTED_VALUE"""),"Marriage, Divorce")</f>
        <v>Marriage, Divorce</v>
      </c>
      <c r="K517" s="13">
        <f ca="1">IFERROR(__xludf.DUMMYFUNCTION("""COMPUTED_VALUE"""),43211)</f>
        <v>43211</v>
      </c>
      <c r="L517" s="12"/>
      <c r="M517" s="12"/>
      <c r="N517" s="12" t="str">
        <f ca="1">IFERROR(__xludf.DUMMYFUNCTION("""COMPUTED_VALUE"""),"Table1")</f>
        <v>Table1</v>
      </c>
    </row>
    <row r="518" spans="1:14" ht="15.75" customHeight="1" x14ac:dyDescent="0.35">
      <c r="A518" s="12" t="str">
        <f ca="1">IFERROR(__xludf.DUMMYFUNCTION("""COMPUTED_VALUE"""),"Newheiser, Jim")</f>
        <v>Newheiser, Jim</v>
      </c>
      <c r="B518" s="12" t="str">
        <f ca="1">IFERROR(__xludf.DUMMYFUNCTION("""COMPUTED_VALUE""")," Jim Newheiser")</f>
        <v xml:space="preserve"> Jim Newheiser</v>
      </c>
      <c r="C518" s="12" t="str">
        <f ca="1">IFERROR(__xludf.DUMMYFUNCTION("""COMPUTED_VALUE"""),"You Never Stop Being a Parent")</f>
        <v>You Never Stop Being a Parent</v>
      </c>
      <c r="D518" s="12" t="str">
        <f ca="1">IFERROR(__xludf.DUMMYFUNCTION("""COMPUTED_VALUE"""),"Fitzpatrick")</f>
        <v>Fitzpatrick</v>
      </c>
      <c r="E518" s="12" t="str">
        <f ca="1">IFERROR(__xludf.DUMMYFUNCTION("""COMPUTED_VALUE"""),"Book")</f>
        <v>Book</v>
      </c>
      <c r="F518" s="12" t="str">
        <f ca="1">IFERROR(__xludf.DUMMYFUNCTION("""COMPUTED_VALUE"""),"Understanding Mankind")</f>
        <v>Understanding Mankind</v>
      </c>
      <c r="G518" s="12"/>
      <c r="H518" s="12"/>
      <c r="I518" s="12" t="str">
        <f ca="1">IFERROR(__xludf.DUMMYFUNCTION("""COMPUTED_VALUE"""),"Parenting")</f>
        <v>Parenting</v>
      </c>
      <c r="J518" s="12" t="str">
        <f ca="1">IFERROR(__xludf.DUMMYFUNCTION("""COMPUTED_VALUE"""),"Parenting")</f>
        <v>Parenting</v>
      </c>
      <c r="K518" s="13">
        <f ca="1">IFERROR(__xludf.DUMMYFUNCTION("""COMPUTED_VALUE"""),41804)</f>
        <v>41804</v>
      </c>
      <c r="L518" s="12"/>
      <c r="M518" s="12"/>
      <c r="N518" s="12" t="str">
        <f ca="1">IFERROR(__xludf.DUMMYFUNCTION("""COMPUTED_VALUE"""),"Table1")</f>
        <v>Table1</v>
      </c>
    </row>
    <row r="519" spans="1:14" ht="15.75" customHeight="1" x14ac:dyDescent="0.35">
      <c r="A519" s="12" t="str">
        <f ca="1">IFERROR(__xludf.DUMMYFUNCTION("""COMPUTED_VALUE"""),"Newman, Randy")</f>
        <v>Newman, Randy</v>
      </c>
      <c r="B519" s="12" t="str">
        <f ca="1">IFERROR(__xludf.DUMMYFUNCTION("""COMPUTED_VALUE""")," Randy Newman")</f>
        <v xml:space="preserve"> Randy Newman</v>
      </c>
      <c r="C519" s="12" t="str">
        <f ca="1">IFERROR(__xludf.DUMMYFUNCTION("""COMPUTED_VALUE"""),"Questioning Evangelism: Engaging People's Hearts the Way Jesus Did")</f>
        <v>Questioning Evangelism: Engaging People's Hearts the Way Jesus Did</v>
      </c>
      <c r="D519" s="12"/>
      <c r="E519" s="12" t="str">
        <f ca="1">IFERROR(__xludf.DUMMYFUNCTION("""COMPUTED_VALUE"""),"Book")</f>
        <v>Book</v>
      </c>
      <c r="F519" s="12" t="str">
        <f ca="1">IFERROR(__xludf.DUMMYFUNCTION("""COMPUTED_VALUE"""),"Salvation")</f>
        <v>Salvation</v>
      </c>
      <c r="G519" s="12"/>
      <c r="H519" s="12"/>
      <c r="I519" s="12"/>
      <c r="J519" s="12" t="str">
        <f ca="1">IFERROR(__xludf.DUMMYFUNCTION("""COMPUTED_VALUE"""),"Evangelism")</f>
        <v>Evangelism</v>
      </c>
      <c r="K519" s="13">
        <f ca="1">IFERROR(__xludf.DUMMYFUNCTION("""COMPUTED_VALUE"""),44772)</f>
        <v>44772</v>
      </c>
      <c r="L519" s="12"/>
      <c r="M519" s="12"/>
      <c r="N519" s="12" t="str">
        <f ca="1">IFERROR(__xludf.DUMMYFUNCTION("""COMPUTED_VALUE"""),"Table1")</f>
        <v>Table1</v>
      </c>
    </row>
    <row r="520" spans="1:14" ht="15.75" customHeight="1" x14ac:dyDescent="0.35">
      <c r="A520" s="12" t="str">
        <f ca="1">IFERROR(__xludf.DUMMYFUNCTION("""COMPUTED_VALUE"""),"Nicholls, Andrew; Thorne, Helen")</f>
        <v>Nicholls, Andrew; Thorne, Helen</v>
      </c>
      <c r="B520" s="12" t="str">
        <f ca="1">IFERROR(__xludf.DUMMYFUNCTION("""COMPUTED_VALUE""")," Andrew Nicholls; Helen Thorne")</f>
        <v xml:space="preserve"> Andrew Nicholls; Helen Thorne</v>
      </c>
      <c r="C520" s="12" t="str">
        <f ca="1">IFERROR(__xludf.DUMMYFUNCTION("""COMPUTED_VALUE"""),"Real Change: Becoming More Like Jesus in Everyday Life")</f>
        <v>Real Change: Becoming More Like Jesus in Everyday Life</v>
      </c>
      <c r="D520" s="12" t="str">
        <f ca="1">IFERROR(__xludf.DUMMYFUNCTION("""COMPUTED_VALUE"""),"David Powlison, editor")</f>
        <v>David Powlison, editor</v>
      </c>
      <c r="E520" s="12" t="str">
        <f ca="1">IFERROR(__xludf.DUMMYFUNCTION("""COMPUTED_VALUE"""),"Book")</f>
        <v>Book</v>
      </c>
      <c r="F520" s="12" t="str">
        <f ca="1">IFERROR(__xludf.DUMMYFUNCTION("""COMPUTED_VALUE"""),"Discipleship")</f>
        <v>Discipleship</v>
      </c>
      <c r="G520" s="12"/>
      <c r="H520" s="12"/>
      <c r="I520" s="12"/>
      <c r="J520" s="12"/>
      <c r="K520" s="13">
        <f ca="1">IFERROR(__xludf.DUMMYFUNCTION("""COMPUTED_VALUE"""),44044)</f>
        <v>44044</v>
      </c>
      <c r="L520" s="12"/>
      <c r="M520" s="12"/>
      <c r="N520" s="12" t="str">
        <f ca="1">IFERROR(__xludf.DUMMYFUNCTION("""COMPUTED_VALUE"""),"Table1")</f>
        <v>Table1</v>
      </c>
    </row>
    <row r="521" spans="1:14" ht="15.75" customHeight="1" x14ac:dyDescent="0.35">
      <c r="A521" s="12" t="str">
        <f ca="1">IFERROR(__xludf.DUMMYFUNCTION("""COMPUTED_VALUE"""),"Nichols, Stephen j")</f>
        <v>Nichols, Stephen j</v>
      </c>
      <c r="B521" s="12" t="str">
        <f ca="1">IFERROR(__xludf.DUMMYFUNCTION("""COMPUTED_VALUE""")," Stephen j Nichols")</f>
        <v xml:space="preserve"> Stephen j Nichols</v>
      </c>
      <c r="C521" s="12" t="str">
        <f ca="1">IFERROR(__xludf.DUMMYFUNCTION("""COMPUTED_VALUE"""),"A Time for Confidence")</f>
        <v>A Time for Confidence</v>
      </c>
      <c r="D521" s="12"/>
      <c r="E521" s="12" t="str">
        <f ca="1">IFERROR(__xludf.DUMMYFUNCTION("""COMPUTED_VALUE"""),"Book")</f>
        <v>Book</v>
      </c>
      <c r="F521" s="12" t="str">
        <f ca="1">IFERROR(__xludf.DUMMYFUNCTION("""COMPUTED_VALUE"""),"Worldview")</f>
        <v>Worldview</v>
      </c>
      <c r="G521" s="12"/>
      <c r="H521" s="12"/>
      <c r="I521" s="12"/>
      <c r="J521" s="12" t="str">
        <f ca="1">IFERROR(__xludf.DUMMYFUNCTION("""COMPUTED_VALUE"""),"Culture")</f>
        <v>Culture</v>
      </c>
      <c r="K521" s="13">
        <f ca="1">IFERROR(__xludf.DUMMYFUNCTION("""COMPUTED_VALUE"""),42856)</f>
        <v>42856</v>
      </c>
      <c r="L521" s="12"/>
      <c r="M521" s="12"/>
      <c r="N521" s="12" t="str">
        <f ca="1">IFERROR(__xludf.DUMMYFUNCTION("""COMPUTED_VALUE"""),"Table1")</f>
        <v>Table1</v>
      </c>
    </row>
    <row r="522" spans="1:14" ht="15.75" customHeight="1" x14ac:dyDescent="0.35">
      <c r="A522" s="12" t="str">
        <f ca="1">IFERROR(__xludf.DUMMYFUNCTION("""COMPUTED_VALUE"""),"Nichols, Stephen j")</f>
        <v>Nichols, Stephen j</v>
      </c>
      <c r="B522" s="12" t="str">
        <f ca="1">IFERROR(__xludf.DUMMYFUNCTION("""COMPUTED_VALUE""")," Stephen j Nichols")</f>
        <v xml:space="preserve"> Stephen j Nichols</v>
      </c>
      <c r="C522" s="12" t="str">
        <f ca="1">IFERROR(__xludf.DUMMYFUNCTION("""COMPUTED_VALUE"""),"Ancient Word, Changling Worlds: The Doctrine of Scripture in a Modern Age")</f>
        <v>Ancient Word, Changling Worlds: The Doctrine of Scripture in a Modern Age</v>
      </c>
      <c r="D522" s="12" t="str">
        <f ca="1">IFERROR(__xludf.DUMMYFUNCTION("""COMPUTED_VALUE"""),"Brandy")</f>
        <v>Brandy</v>
      </c>
      <c r="E522" s="12" t="str">
        <f ca="1">IFERROR(__xludf.DUMMYFUNCTION("""COMPUTED_VALUE"""),"Book")</f>
        <v>Book</v>
      </c>
      <c r="F522" s="12" t="str">
        <f ca="1">IFERROR(__xludf.DUMMYFUNCTION("""COMPUTED_VALUE"""),"Bible")</f>
        <v>Bible</v>
      </c>
      <c r="G522" s="12"/>
      <c r="H522" s="12"/>
      <c r="I522" s="12"/>
      <c r="J522" s="12"/>
      <c r="K522" s="13">
        <f ca="1">IFERROR(__xludf.DUMMYFUNCTION("""COMPUTED_VALUE"""),40766)</f>
        <v>40766</v>
      </c>
      <c r="L522" s="12"/>
      <c r="M522" s="12"/>
      <c r="N522" s="12" t="str">
        <f ca="1">IFERROR(__xludf.DUMMYFUNCTION("""COMPUTED_VALUE"""),"Table1")</f>
        <v>Table1</v>
      </c>
    </row>
    <row r="523" spans="1:14" ht="15.75" customHeight="1" x14ac:dyDescent="0.35">
      <c r="A523" s="12" t="str">
        <f ca="1">IFERROR(__xludf.DUMMYFUNCTION("""COMPUTED_VALUE"""),"Nielson, Jon")</f>
        <v>Nielson, Jon</v>
      </c>
      <c r="B523" s="12" t="str">
        <f ca="1">IFERROR(__xludf.DUMMYFUNCTION("""COMPUTED_VALUE""")," Jon Nielson")</f>
        <v xml:space="preserve"> Jon Nielson</v>
      </c>
      <c r="C523" s="12" t="str">
        <f ca="1">IFERROR(__xludf.DUMMYFUNCTION("""COMPUTED_VALUE"""),"Bible Study: A Student's Guide")</f>
        <v>Bible Study: A Student's Guide</v>
      </c>
      <c r="D523" s="12"/>
      <c r="E523" s="12" t="str">
        <f ca="1">IFERROR(__xludf.DUMMYFUNCTION("""COMPUTED_VALUE"""),"Book")</f>
        <v>Book</v>
      </c>
      <c r="F523" s="12" t="str">
        <f ca="1">IFERROR(__xludf.DUMMYFUNCTION("""COMPUTED_VALUE"""),"Bible")</f>
        <v>Bible</v>
      </c>
      <c r="G523" s="12"/>
      <c r="H523" s="12"/>
      <c r="I523" s="12"/>
      <c r="J523" s="12" t="str">
        <f ca="1">IFERROR(__xludf.DUMMYFUNCTION("""COMPUTED_VALUE"""),"Youth")</f>
        <v>Youth</v>
      </c>
      <c r="K523" s="13">
        <f ca="1">IFERROR(__xludf.DUMMYFUNCTION("""COMPUTED_VALUE"""),41499)</f>
        <v>41499</v>
      </c>
      <c r="L523" s="12"/>
      <c r="M523" s="12"/>
      <c r="N523" s="12" t="str">
        <f ca="1">IFERROR(__xludf.DUMMYFUNCTION("""COMPUTED_VALUE"""),"Table1")</f>
        <v>Table1</v>
      </c>
    </row>
    <row r="524" spans="1:14" ht="15.75" customHeight="1" x14ac:dyDescent="0.35">
      <c r="A524" s="12" t="str">
        <f ca="1">IFERROR(__xludf.DUMMYFUNCTION("""COMPUTED_VALUE"""),"Nielson, Jon")</f>
        <v>Nielson, Jon</v>
      </c>
      <c r="B524" s="12" t="str">
        <f ca="1">IFERROR(__xludf.DUMMYFUNCTION("""COMPUTED_VALUE""")," Jon Nielson")</f>
        <v xml:space="preserve"> Jon Nielson</v>
      </c>
      <c r="C524" s="12" t="str">
        <f ca="1">IFERROR(__xludf.DUMMYFUNCTION("""COMPUTED_VALUE"""),"Faith That Lasts: Raising Kids That Don't Leave the Church")</f>
        <v>Faith That Lasts: Raising Kids That Don't Leave the Church</v>
      </c>
      <c r="D524" s="12"/>
      <c r="E524" s="12" t="str">
        <f ca="1">IFERROR(__xludf.DUMMYFUNCTION("""COMPUTED_VALUE"""),"Book")</f>
        <v>Book</v>
      </c>
      <c r="F524" s="12" t="str">
        <f ca="1">IFERROR(__xludf.DUMMYFUNCTION("""COMPUTED_VALUE"""),"Understanding Mankind")</f>
        <v>Understanding Mankind</v>
      </c>
      <c r="G524" s="12"/>
      <c r="H524" s="12"/>
      <c r="I524" s="12" t="str">
        <f ca="1">IFERROR(__xludf.DUMMYFUNCTION("""COMPUTED_VALUE"""),"Parenting")</f>
        <v>Parenting</v>
      </c>
      <c r="J524" s="12" t="str">
        <f ca="1">IFERROR(__xludf.DUMMYFUNCTION("""COMPUTED_VALUE"""),"Parenting")</f>
        <v>Parenting</v>
      </c>
      <c r="K524" s="13">
        <f ca="1">IFERROR(__xludf.DUMMYFUNCTION("""COMPUTED_VALUE"""),42659)</f>
        <v>42659</v>
      </c>
      <c r="L524" s="12"/>
      <c r="M524" s="12"/>
      <c r="N524" s="12" t="str">
        <f ca="1">IFERROR(__xludf.DUMMYFUNCTION("""COMPUTED_VALUE"""),"Table1")</f>
        <v>Table1</v>
      </c>
    </row>
    <row r="525" spans="1:14" ht="15.75" customHeight="1" x14ac:dyDescent="0.35">
      <c r="A525" s="12" t="str">
        <f ca="1">IFERROR(__xludf.DUMMYFUNCTION("""COMPUTED_VALUE"""),"Nielson, Kathleen")</f>
        <v>Nielson, Kathleen</v>
      </c>
      <c r="B525" s="12" t="str">
        <f ca="1">IFERROR(__xludf.DUMMYFUNCTION("""COMPUTED_VALUE""")," Kathleen Nielson")</f>
        <v xml:space="preserve"> Kathleen Nielson</v>
      </c>
      <c r="C525" s="12" t="str">
        <f ca="1">IFERROR(__xludf.DUMMYFUNCTION("""COMPUTED_VALUE"""),"Women and God: Hard Questions. Beautiful Truth.")</f>
        <v>Women and God: Hard Questions. Beautiful Truth.</v>
      </c>
      <c r="D525" s="12"/>
      <c r="E525" s="12" t="str">
        <f ca="1">IFERROR(__xludf.DUMMYFUNCTION("""COMPUTED_VALUE"""),"Book")</f>
        <v>Book</v>
      </c>
      <c r="F525" s="12" t="str">
        <f ca="1">IFERROR(__xludf.DUMMYFUNCTION("""COMPUTED_VALUE"""),"Theology")</f>
        <v>Theology</v>
      </c>
      <c r="G525" s="12"/>
      <c r="H525" s="12"/>
      <c r="I525" s="12"/>
      <c r="J525" s="12" t="str">
        <f ca="1">IFERROR(__xludf.DUMMYFUNCTION("""COMPUTED_VALUE"""),"Christian Women")</f>
        <v>Christian Women</v>
      </c>
      <c r="K525" s="13"/>
      <c r="L525" s="12"/>
      <c r="M525" s="12"/>
      <c r="N525" s="12" t="str">
        <f ca="1">IFERROR(__xludf.DUMMYFUNCTION("""COMPUTED_VALUE"""),"Table1")</f>
        <v>Table1</v>
      </c>
    </row>
    <row r="526" spans="1:14" ht="15.75" customHeight="1" x14ac:dyDescent="0.35">
      <c r="A526" s="12" t="str">
        <f ca="1">IFERROR(__xludf.DUMMYFUNCTION("""COMPUTED_VALUE"""),"Nodder, Marcus")</f>
        <v>Nodder, Marcus</v>
      </c>
      <c r="B526" s="12" t="str">
        <f ca="1">IFERROR(__xludf.DUMMYFUNCTION("""COMPUTED_VALUE""")," Marcus Nodder")</f>
        <v xml:space="preserve"> Marcus Nodder</v>
      </c>
      <c r="C526" s="12" t="str">
        <f ca="1">IFERROR(__xludf.DUMMYFUNCTION("""COMPUTED_VALUE"""),"What Happens When I Die?  And other questions about heaven, hell and the life to come")</f>
        <v>What Happens When I Die?  And other questions about heaven, hell and the life to come</v>
      </c>
      <c r="D526" s="12" t="str">
        <f ca="1">IFERROR(__xludf.DUMMYFUNCTION("""COMPUTED_VALUE"""),"Questions Christians Ask")</f>
        <v>Questions Christians Ask</v>
      </c>
      <c r="E526" s="12" t="str">
        <f ca="1">IFERROR(__xludf.DUMMYFUNCTION("""COMPUTED_VALUE"""),"Book")</f>
        <v>Book</v>
      </c>
      <c r="F526" s="12" t="str">
        <f ca="1">IFERROR(__xludf.DUMMYFUNCTION("""COMPUTED_VALUE"""),"Theology")</f>
        <v>Theology</v>
      </c>
      <c r="G526" s="12"/>
      <c r="H526" s="12"/>
      <c r="I526" s="12"/>
      <c r="J526" s="12" t="str">
        <f ca="1">IFERROR(__xludf.DUMMYFUNCTION("""COMPUTED_VALUE"""),"Death")</f>
        <v>Death</v>
      </c>
      <c r="K526" s="13">
        <f ca="1">IFERROR(__xludf.DUMMYFUNCTION("""COMPUTED_VALUE"""),43872)</f>
        <v>43872</v>
      </c>
      <c r="L526" s="12"/>
      <c r="M526" s="12"/>
      <c r="N526" s="12" t="str">
        <f ca="1">IFERROR(__xludf.DUMMYFUNCTION("""COMPUTED_VALUE"""),"Table1")</f>
        <v>Table1</v>
      </c>
    </row>
    <row r="527" spans="1:14" ht="15.75" customHeight="1" x14ac:dyDescent="0.35">
      <c r="A527" s="12" t="str">
        <f ca="1">IFERROR(__xludf.DUMMYFUNCTION("""COMPUTED_VALUE"""),"O'Dell, Scott")</f>
        <v>O'Dell, Scott</v>
      </c>
      <c r="B527" s="12" t="str">
        <f ca="1">IFERROR(__xludf.DUMMYFUNCTION("""COMPUTED_VALUE""")," Scott O'Dell")</f>
        <v xml:space="preserve"> Scott O'Dell</v>
      </c>
      <c r="C527" s="12" t="str">
        <f ca="1">IFERROR(__xludf.DUMMYFUNCTION("""COMPUTED_VALUE"""),"The Hawk that Dare Not Hunt by Day")</f>
        <v>The Hawk that Dare Not Hunt by Day</v>
      </c>
      <c r="D527" s="12"/>
      <c r="E527" s="12" t="str">
        <f ca="1">IFERROR(__xludf.DUMMYFUNCTION("""COMPUTED_VALUE"""),"Book")</f>
        <v>Book</v>
      </c>
      <c r="F527" s="12" t="str">
        <f ca="1">IFERROR(__xludf.DUMMYFUNCTION("""COMPUTED_VALUE"""),"Children")</f>
        <v>Children</v>
      </c>
      <c r="G527" s="12"/>
      <c r="H527" s="12"/>
      <c r="I527" s="12"/>
      <c r="J527" s="12"/>
      <c r="K527" s="13">
        <f ca="1">IFERROR(__xludf.DUMMYFUNCTION("""COMPUTED_VALUE"""),41164)</f>
        <v>41164</v>
      </c>
      <c r="L527" s="12"/>
      <c r="M527" s="12"/>
      <c r="N527" s="12" t="str">
        <f ca="1">IFERROR(__xludf.DUMMYFUNCTION("""COMPUTED_VALUE"""),"Table1")</f>
        <v>Table1</v>
      </c>
    </row>
    <row r="528" spans="1:14" ht="15.75" customHeight="1" x14ac:dyDescent="0.35">
      <c r="A528" s="12" t="str">
        <f ca="1">IFERROR(__xludf.DUMMYFUNCTION("""COMPUTED_VALUE"""),"Olasky, Susan")</f>
        <v>Olasky, Susan</v>
      </c>
      <c r="B528" s="12" t="str">
        <f ca="1">IFERROR(__xludf.DUMMYFUNCTION("""COMPUTED_VALUE""")," Susan Olasky")</f>
        <v xml:space="preserve"> Susan Olasky</v>
      </c>
      <c r="C528" s="12" t="str">
        <f ca="1">IFERROR(__xludf.DUMMYFUNCTION("""COMPUTED_VALUE"""),"Annie Henry and the Birth of Liberty")</f>
        <v>Annie Henry and the Birth of Liberty</v>
      </c>
      <c r="D528" s="12" t="str">
        <f ca="1">IFERROR(__xludf.DUMMYFUNCTION("""COMPUTED_VALUE"""),"Adventures in the American Revolution")</f>
        <v>Adventures in the American Revolution</v>
      </c>
      <c r="E528" s="12" t="str">
        <f ca="1">IFERROR(__xludf.DUMMYFUNCTION("""COMPUTED_VALUE"""),"Book")</f>
        <v>Book</v>
      </c>
      <c r="F528" s="12" t="str">
        <f ca="1">IFERROR(__xludf.DUMMYFUNCTION("""COMPUTED_VALUE"""),"Children")</f>
        <v>Children</v>
      </c>
      <c r="G528" s="12"/>
      <c r="H528" s="12"/>
      <c r="I528" s="12"/>
      <c r="J528" s="12"/>
      <c r="K528" s="13">
        <f ca="1">IFERROR(__xludf.DUMMYFUNCTION("""COMPUTED_VALUE"""),43831)</f>
        <v>43831</v>
      </c>
      <c r="L528" s="12"/>
      <c r="M528" s="12"/>
      <c r="N528" s="12" t="str">
        <f ca="1">IFERROR(__xludf.DUMMYFUNCTION("""COMPUTED_VALUE"""),"Table1")</f>
        <v>Table1</v>
      </c>
    </row>
    <row r="529" spans="1:14" ht="15.75" customHeight="1" x14ac:dyDescent="0.35">
      <c r="A529" s="12" t="str">
        <f ca="1">IFERROR(__xludf.DUMMYFUNCTION("""COMPUTED_VALUE"""),"Olasky, Susan")</f>
        <v>Olasky, Susan</v>
      </c>
      <c r="B529" s="12" t="str">
        <f ca="1">IFERROR(__xludf.DUMMYFUNCTION("""COMPUTED_VALUE""")," Susan Olasky")</f>
        <v xml:space="preserve"> Susan Olasky</v>
      </c>
      <c r="C529" s="12" t="str">
        <f ca="1">IFERROR(__xludf.DUMMYFUNCTION("""COMPUTED_VALUE"""),"Annie Henry and the Mysterious Stranger")</f>
        <v>Annie Henry and the Mysterious Stranger</v>
      </c>
      <c r="D529" s="12" t="str">
        <f ca="1">IFERROR(__xludf.DUMMYFUNCTION("""COMPUTED_VALUE"""),"Adventures in the American Revolution")</f>
        <v>Adventures in the American Revolution</v>
      </c>
      <c r="E529" s="12" t="str">
        <f ca="1">IFERROR(__xludf.DUMMYFUNCTION("""COMPUTED_VALUE"""),"Book")</f>
        <v>Book</v>
      </c>
      <c r="F529" s="12" t="str">
        <f ca="1">IFERROR(__xludf.DUMMYFUNCTION("""COMPUTED_VALUE"""),"Children")</f>
        <v>Children</v>
      </c>
      <c r="G529" s="12"/>
      <c r="H529" s="12"/>
      <c r="I529" s="12"/>
      <c r="J529" s="12"/>
      <c r="K529" s="13">
        <f ca="1">IFERROR(__xludf.DUMMYFUNCTION("""COMPUTED_VALUE"""),43831)</f>
        <v>43831</v>
      </c>
      <c r="L529" s="12"/>
      <c r="M529" s="12"/>
      <c r="N529" s="12" t="str">
        <f ca="1">IFERROR(__xludf.DUMMYFUNCTION("""COMPUTED_VALUE"""),"Table1")</f>
        <v>Table1</v>
      </c>
    </row>
    <row r="530" spans="1:14" ht="15.75" customHeight="1" x14ac:dyDescent="0.35">
      <c r="A530" s="12" t="str">
        <f ca="1">IFERROR(__xludf.DUMMYFUNCTION("""COMPUTED_VALUE"""),"Olasky, Susan")</f>
        <v>Olasky, Susan</v>
      </c>
      <c r="B530" s="12" t="str">
        <f ca="1">IFERROR(__xludf.DUMMYFUNCTION("""COMPUTED_VALUE""")," Susan Olasky")</f>
        <v xml:space="preserve"> Susan Olasky</v>
      </c>
      <c r="C530" s="12" t="str">
        <f ca="1">IFERROR(__xludf.DUMMYFUNCTION("""COMPUTED_VALUE"""),"Annie Henry and the Redcoats")</f>
        <v>Annie Henry and the Redcoats</v>
      </c>
      <c r="D530" s="12" t="str">
        <f ca="1">IFERROR(__xludf.DUMMYFUNCTION("""COMPUTED_VALUE"""),"Adventures in the American Revolution")</f>
        <v>Adventures in the American Revolution</v>
      </c>
      <c r="E530" s="12" t="str">
        <f ca="1">IFERROR(__xludf.DUMMYFUNCTION("""COMPUTED_VALUE"""),"Book")</f>
        <v>Book</v>
      </c>
      <c r="F530" s="12" t="str">
        <f ca="1">IFERROR(__xludf.DUMMYFUNCTION("""COMPUTED_VALUE"""),"Children")</f>
        <v>Children</v>
      </c>
      <c r="G530" s="12"/>
      <c r="H530" s="12"/>
      <c r="I530" s="12"/>
      <c r="J530" s="12"/>
      <c r="K530" s="13">
        <f ca="1">IFERROR(__xludf.DUMMYFUNCTION("""COMPUTED_VALUE"""),43831)</f>
        <v>43831</v>
      </c>
      <c r="L530" s="12"/>
      <c r="M530" s="12"/>
      <c r="N530" s="12" t="str">
        <f ca="1">IFERROR(__xludf.DUMMYFUNCTION("""COMPUTED_VALUE"""),"Table1")</f>
        <v>Table1</v>
      </c>
    </row>
    <row r="531" spans="1:14" ht="15.75" customHeight="1" x14ac:dyDescent="0.35">
      <c r="A531" s="12" t="str">
        <f ca="1">IFERROR(__xludf.DUMMYFUNCTION("""COMPUTED_VALUE"""),"Olasky, Susan")</f>
        <v>Olasky, Susan</v>
      </c>
      <c r="B531" s="12" t="str">
        <f ca="1">IFERROR(__xludf.DUMMYFUNCTION("""COMPUTED_VALUE""")," Susan Olasky")</f>
        <v xml:space="preserve"> Susan Olasky</v>
      </c>
      <c r="C531" s="12" t="str">
        <f ca="1">IFERROR(__xludf.DUMMYFUNCTION("""COMPUTED_VALUE"""),"Annie Henry and the Secret Mission")</f>
        <v>Annie Henry and the Secret Mission</v>
      </c>
      <c r="D531" s="12"/>
      <c r="E531" s="12" t="str">
        <f ca="1">IFERROR(__xludf.DUMMYFUNCTION("""COMPUTED_VALUE"""),"Book")</f>
        <v>Book</v>
      </c>
      <c r="F531" s="12" t="str">
        <f ca="1">IFERROR(__xludf.DUMMYFUNCTION("""COMPUTED_VALUE"""),"Children")</f>
        <v>Children</v>
      </c>
      <c r="G531" s="12"/>
      <c r="H531" s="12"/>
      <c r="I531" s="12"/>
      <c r="J531" s="12"/>
      <c r="K531" s="13"/>
      <c r="L531" s="12"/>
      <c r="M531" s="12"/>
      <c r="N531" s="12" t="str">
        <f ca="1">IFERROR(__xludf.DUMMYFUNCTION("""COMPUTED_VALUE"""),"Table1")</f>
        <v>Table1</v>
      </c>
    </row>
    <row r="532" spans="1:14" ht="15.75" customHeight="1" x14ac:dyDescent="0.35">
      <c r="A532" s="12" t="str">
        <f ca="1">IFERROR(__xludf.DUMMYFUNCTION("""COMPUTED_VALUE"""),"Oliphint, K. Scott")</f>
        <v>Oliphint, K. Scott</v>
      </c>
      <c r="B532" s="12" t="str">
        <f ca="1">IFERROR(__xludf.DUMMYFUNCTION("""COMPUTED_VALUE""")," K. Scott Oliphint")</f>
        <v xml:space="preserve"> K. Scott Oliphint</v>
      </c>
      <c r="C532" s="12" t="str">
        <f ca="1">IFERROR(__xludf.DUMMYFUNCTION("""COMPUTED_VALUE"""),"The Battle Belongs to the Lord: The Power of Scripture for Defending Our Faith")</f>
        <v>The Battle Belongs to the Lord: The Power of Scripture for Defending Our Faith</v>
      </c>
      <c r="D532" s="12"/>
      <c r="E532" s="12" t="str">
        <f ca="1">IFERROR(__xludf.DUMMYFUNCTION("""COMPUTED_VALUE"""),"Book")</f>
        <v>Book</v>
      </c>
      <c r="F532" s="12" t="str">
        <f ca="1">IFERROR(__xludf.DUMMYFUNCTION("""COMPUTED_VALUE"""),"Worldview")</f>
        <v>Worldview</v>
      </c>
      <c r="G532" s="12"/>
      <c r="H532" s="12"/>
      <c r="I532" s="12"/>
      <c r="J532" s="12" t="str">
        <f ca="1">IFERROR(__xludf.DUMMYFUNCTION("""COMPUTED_VALUE"""),"Apologetics")</f>
        <v>Apologetics</v>
      </c>
      <c r="K532" s="13">
        <f ca="1">IFERROR(__xludf.DUMMYFUNCTION("""COMPUTED_VALUE"""),41499)</f>
        <v>41499</v>
      </c>
      <c r="L532" s="12"/>
      <c r="M532" s="12"/>
      <c r="N532" s="12" t="str">
        <f ca="1">IFERROR(__xludf.DUMMYFUNCTION("""COMPUTED_VALUE"""),"Table1")</f>
        <v>Table1</v>
      </c>
    </row>
    <row r="533" spans="1:14" ht="15.75" customHeight="1" x14ac:dyDescent="0.35">
      <c r="A533" s="12" t="str">
        <f ca="1">IFERROR(__xludf.DUMMYFUNCTION("""COMPUTED_VALUE"""),"Oliphint, K. Scott")</f>
        <v>Oliphint, K. Scott</v>
      </c>
      <c r="B533" s="12" t="str">
        <f ca="1">IFERROR(__xludf.DUMMYFUNCTION("""COMPUTED_VALUE""")," K. Scott Oliphint")</f>
        <v xml:space="preserve"> K. Scott Oliphint</v>
      </c>
      <c r="C533" s="12" t="str">
        <f ca="1">IFERROR(__xludf.DUMMYFUNCTION("""COMPUTED_VALUE"""),"Unshakable: Standing Firm in a Shifting Culture")</f>
        <v>Unshakable: Standing Firm in a Shifting Culture</v>
      </c>
      <c r="D533" s="12" t="str">
        <f ca="1">IFERROR(__xludf.DUMMYFUNCTION("""COMPUTED_VALUE"""),"Rod Mays")</f>
        <v>Rod Mays</v>
      </c>
      <c r="E533" s="12" t="str">
        <f ca="1">IFERROR(__xludf.DUMMYFUNCTION("""COMPUTED_VALUE"""),"Book")</f>
        <v>Book</v>
      </c>
      <c r="F533" s="12" t="str">
        <f ca="1">IFERROR(__xludf.DUMMYFUNCTION("""COMPUTED_VALUE"""),"Worldview")</f>
        <v>Worldview</v>
      </c>
      <c r="G533" s="12"/>
      <c r="H533" s="12"/>
      <c r="I533" s="12"/>
      <c r="J533" s="12" t="str">
        <f ca="1">IFERROR(__xludf.DUMMYFUNCTION("""COMPUTED_VALUE"""),"Culture, Postmodernism")</f>
        <v>Culture, Postmodernism</v>
      </c>
      <c r="K533" s="13">
        <f ca="1">IFERROR(__xludf.DUMMYFUNCTION("""COMPUTED_VALUE"""),42659)</f>
        <v>42659</v>
      </c>
      <c r="L533" s="12"/>
      <c r="M533" s="12"/>
      <c r="N533" s="12" t="str">
        <f ca="1">IFERROR(__xludf.DUMMYFUNCTION("""COMPUTED_VALUE"""),"Table1")</f>
        <v>Table1</v>
      </c>
    </row>
    <row r="534" spans="1:14" ht="15.75" customHeight="1" x14ac:dyDescent="0.35">
      <c r="A534" s="12" t="str">
        <f ca="1">IFERROR(__xludf.DUMMYFUNCTION("""COMPUTED_VALUE"""),"Olsen, Viggo")</f>
        <v>Olsen, Viggo</v>
      </c>
      <c r="B534" s="12" t="str">
        <f ca="1">IFERROR(__xludf.DUMMYFUNCTION("""COMPUTED_VALUE""")," Viggo Olsen")</f>
        <v xml:space="preserve"> Viggo Olsen</v>
      </c>
      <c r="C534" s="12" t="str">
        <f ca="1">IFERROR(__xludf.DUMMYFUNCTION("""COMPUTED_VALUE"""),"Daktar, Diplomat in Bangladesh")</f>
        <v>Daktar, Diplomat in Bangladesh</v>
      </c>
      <c r="D534" s="12"/>
      <c r="E534" s="12" t="str">
        <f ca="1">IFERROR(__xludf.DUMMYFUNCTION("""COMPUTED_VALUE"""),"Book")</f>
        <v>Book</v>
      </c>
      <c r="F534" s="12" t="str">
        <f ca="1">IFERROR(__xludf.DUMMYFUNCTION("""COMPUTED_VALUE"""),"Biography")</f>
        <v>Biography</v>
      </c>
      <c r="G534" s="12"/>
      <c r="H534" s="12"/>
      <c r="I534" s="12"/>
      <c r="J534" s="12"/>
      <c r="K534" s="13">
        <f ca="1">IFERROR(__xludf.DUMMYFUNCTION("""COMPUTED_VALUE"""),40045)</f>
        <v>40045</v>
      </c>
      <c r="L534" s="12"/>
      <c r="M534" s="12"/>
      <c r="N534" s="12" t="str">
        <f ca="1">IFERROR(__xludf.DUMMYFUNCTION("""COMPUTED_VALUE"""),"Table1")</f>
        <v>Table1</v>
      </c>
    </row>
    <row r="535" spans="1:14" ht="15.75" customHeight="1" x14ac:dyDescent="0.35">
      <c r="A535" s="12" t="str">
        <f ca="1">IFERROR(__xludf.DUMMYFUNCTION("""COMPUTED_VALUE"""),"OMF International ")</f>
        <v xml:space="preserve">OMF International </v>
      </c>
      <c r="B535" s="12" t="str">
        <f ca="1">IFERROR(__xludf.DUMMYFUNCTION("""COMPUTED_VALUE"""),"OMF International ")</f>
        <v xml:space="preserve">OMF International </v>
      </c>
      <c r="C535" s="12" t="str">
        <f ca="1">IFERROR(__xludf.DUMMYFUNCTION("""COMPUTED_VALUE"""),"In the Arena: Isobel Kuhn")</f>
        <v>In the Arena: Isobel Kuhn</v>
      </c>
      <c r="D535" s="12"/>
      <c r="E535" s="12" t="str">
        <f ca="1">IFERROR(__xludf.DUMMYFUNCTION("""COMPUTED_VALUE"""),"Book")</f>
        <v>Book</v>
      </c>
      <c r="F535" s="12" t="str">
        <f ca="1">IFERROR(__xludf.DUMMYFUNCTION("""COMPUTED_VALUE"""),"Biography")</f>
        <v>Biography</v>
      </c>
      <c r="G535" s="12"/>
      <c r="H535" s="12"/>
      <c r="I535" s="12"/>
      <c r="J535" s="12"/>
      <c r="K535" s="13">
        <f ca="1">IFERROR(__xludf.DUMMYFUNCTION("""COMPUTED_VALUE"""),40046)</f>
        <v>40046</v>
      </c>
      <c r="L535" s="12"/>
      <c r="M535" s="12"/>
      <c r="N535" s="12" t="str">
        <f ca="1">IFERROR(__xludf.DUMMYFUNCTION("""COMPUTED_VALUE"""),"Table1")</f>
        <v>Table1</v>
      </c>
    </row>
    <row r="536" spans="1:14" ht="15.75" customHeight="1" x14ac:dyDescent="0.35">
      <c r="A536" s="12" t="str">
        <f ca="1">IFERROR(__xludf.DUMMYFUNCTION("""COMPUTED_VALUE"""),"Ortland, Ray")</f>
        <v>Ortland, Ray</v>
      </c>
      <c r="B536" s="12" t="str">
        <f ca="1">IFERROR(__xludf.DUMMYFUNCTION("""COMPUTED_VALUE""")," Ray Ortland")</f>
        <v xml:space="preserve"> Ray Ortland</v>
      </c>
      <c r="C536" s="12" t="str">
        <f ca="1">IFERROR(__xludf.DUMMYFUNCTION("""COMPUTED_VALUE"""),"The Gospel: How the Church Portrays the Beauty of Christ")</f>
        <v>The Gospel: How the Church Portrays the Beauty of Christ</v>
      </c>
      <c r="D536" s="12"/>
      <c r="E536" s="12" t="str">
        <f ca="1">IFERROR(__xludf.DUMMYFUNCTION("""COMPUTED_VALUE"""),"Book")</f>
        <v>Book</v>
      </c>
      <c r="F536" s="12" t="str">
        <f ca="1">IFERROR(__xludf.DUMMYFUNCTION("""COMPUTED_VALUE"""),"Bible")</f>
        <v>Bible</v>
      </c>
      <c r="G536" s="12" t="str">
        <f ca="1">IFERROR(__xludf.DUMMYFUNCTION("""COMPUTED_VALUE"""),"Church")</f>
        <v>Church</v>
      </c>
      <c r="H536" s="12" t="str">
        <f ca="1">IFERROR(__xludf.DUMMYFUNCTION("""COMPUTED_VALUE"""),"9 Marks")</f>
        <v>9 Marks</v>
      </c>
      <c r="I536" s="12"/>
      <c r="J536" s="12"/>
      <c r="K536" s="13"/>
      <c r="L536" s="12"/>
      <c r="M536" s="12"/>
      <c r="N536" s="12" t="str">
        <f ca="1">IFERROR(__xludf.DUMMYFUNCTION("""COMPUTED_VALUE"""),"Table1")</f>
        <v>Table1</v>
      </c>
    </row>
    <row r="537" spans="1:14" ht="15.75" customHeight="1" x14ac:dyDescent="0.35">
      <c r="A537" s="12" t="str">
        <f ca="1">IFERROR(__xludf.DUMMYFUNCTION("""COMPUTED_VALUE"""),"Ortland, Ray")</f>
        <v>Ortland, Ray</v>
      </c>
      <c r="B537" s="12" t="str">
        <f ca="1">IFERROR(__xludf.DUMMYFUNCTION("""COMPUTED_VALUE""")," Ray Ortland")</f>
        <v xml:space="preserve"> Ray Ortland</v>
      </c>
      <c r="C537" s="12" t="str">
        <f ca="1">IFERROR(__xludf.DUMMYFUNCTION("""COMPUTED_VALUE"""),"Marriage and the Mystery of the Gospel")</f>
        <v>Marriage and the Mystery of the Gospel</v>
      </c>
      <c r="D537" s="12"/>
      <c r="E537" s="12" t="str">
        <f ca="1">IFERROR(__xludf.DUMMYFUNCTION("""COMPUTED_VALUE"""),"Book")</f>
        <v>Book</v>
      </c>
      <c r="F537" s="12" t="str">
        <f ca="1">IFERROR(__xludf.DUMMYFUNCTION("""COMPUTED_VALUE"""),"Theology")</f>
        <v>Theology</v>
      </c>
      <c r="G537" s="12"/>
      <c r="H537" s="12"/>
      <c r="I537" s="12" t="str">
        <f ca="1">IFERROR(__xludf.DUMMYFUNCTION("""COMPUTED_VALUE"""),"Marriage")</f>
        <v>Marriage</v>
      </c>
      <c r="J537" s="12"/>
      <c r="K537" s="13"/>
      <c r="L537" s="12"/>
      <c r="M537" s="12"/>
      <c r="N537" s="12" t="str">
        <f ca="1">IFERROR(__xludf.DUMMYFUNCTION("""COMPUTED_VALUE"""),"Table1")</f>
        <v>Table1</v>
      </c>
    </row>
    <row r="538" spans="1:14" ht="15.75" customHeight="1" x14ac:dyDescent="0.35">
      <c r="A538" s="12" t="str">
        <f ca="1">IFERROR(__xludf.DUMMYFUNCTION("""COMPUTED_VALUE"""),"Ortlund, Dane")</f>
        <v>Ortlund, Dane</v>
      </c>
      <c r="B538" s="12" t="str">
        <f ca="1">IFERROR(__xludf.DUMMYFUNCTION("""COMPUTED_VALUE""")," Dane Ortlund")</f>
        <v xml:space="preserve"> Dane Ortlund</v>
      </c>
      <c r="C538" s="12" t="str">
        <f ca="1">IFERROR(__xludf.DUMMYFUNCTION("""COMPUTED_VALUE"""),"Gentle and Lowly: The Heart of Christ for Sinners and Sufferers")</f>
        <v>Gentle and Lowly: The Heart of Christ for Sinners and Sufferers</v>
      </c>
      <c r="D538" s="12"/>
      <c r="E538" s="12" t="str">
        <f ca="1">IFERROR(__xludf.DUMMYFUNCTION("""COMPUTED_VALUE"""),"Book")</f>
        <v>Book</v>
      </c>
      <c r="F538" s="12" t="str">
        <f ca="1">IFERROR(__xludf.DUMMYFUNCTION("""COMPUTED_VALUE"""),"Theology")</f>
        <v>Theology</v>
      </c>
      <c r="G538" s="12"/>
      <c r="H538" s="12"/>
      <c r="I538" s="12"/>
      <c r="J538" s="12" t="str">
        <f ca="1">IFERROR(__xludf.DUMMYFUNCTION("""COMPUTED_VALUE"""),"Sin, Suffering")</f>
        <v>Sin, Suffering</v>
      </c>
      <c r="K538" s="13">
        <f ca="1">IFERROR(__xludf.DUMMYFUNCTION("""COMPUTED_VALUE"""),44044)</f>
        <v>44044</v>
      </c>
      <c r="L538" s="12"/>
      <c r="M538" s="12"/>
      <c r="N538" s="12" t="str">
        <f ca="1">IFERROR(__xludf.DUMMYFUNCTION("""COMPUTED_VALUE"""),"Table1")</f>
        <v>Table1</v>
      </c>
    </row>
    <row r="539" spans="1:14" ht="15.75" customHeight="1" x14ac:dyDescent="0.35">
      <c r="A539" s="12" t="str">
        <f ca="1">IFERROR(__xludf.DUMMYFUNCTION("""COMPUTED_VALUE"""),"Ortlund, Gavin")</f>
        <v>Ortlund, Gavin</v>
      </c>
      <c r="B539" s="12" t="str">
        <f ca="1">IFERROR(__xludf.DUMMYFUNCTION("""COMPUTED_VALUE""")," Gavin Ortlund")</f>
        <v xml:space="preserve"> Gavin Ortlund</v>
      </c>
      <c r="C539" s="12" t="str">
        <f ca="1">IFERROR(__xludf.DUMMYFUNCTION("""COMPUTED_VALUE"""),"Finding the Right Hills to Die On: The Case for Theological Triage")</f>
        <v>Finding the Right Hills to Die On: The Case for Theological Triage</v>
      </c>
      <c r="D539" s="12"/>
      <c r="E539" s="12" t="str">
        <f ca="1">IFERROR(__xludf.DUMMYFUNCTION("""COMPUTED_VALUE"""),"Book")</f>
        <v>Book</v>
      </c>
      <c r="F539" s="12" t="str">
        <f ca="1">IFERROR(__xludf.DUMMYFUNCTION("""COMPUTED_VALUE"""),"Theology")</f>
        <v>Theology</v>
      </c>
      <c r="G539" s="12"/>
      <c r="H539" s="12"/>
      <c r="I539" s="12"/>
      <c r="J539" s="12"/>
      <c r="K539" s="13">
        <f ca="1">IFERROR(__xludf.DUMMYFUNCTION("""COMPUTED_VALUE"""),44044)</f>
        <v>44044</v>
      </c>
      <c r="L539" s="12"/>
      <c r="M539" s="12"/>
      <c r="N539" s="12" t="str">
        <f ca="1">IFERROR(__xludf.DUMMYFUNCTION("""COMPUTED_VALUE"""),"Table1")</f>
        <v>Table1</v>
      </c>
    </row>
    <row r="540" spans="1:14" ht="15.75" customHeight="1" x14ac:dyDescent="0.35">
      <c r="A540" s="12" t="str">
        <f ca="1">IFERROR(__xludf.DUMMYFUNCTION("""COMPUTED_VALUE"""),"Oshman, Jen")</f>
        <v>Oshman, Jen</v>
      </c>
      <c r="B540" s="12" t="str">
        <f ca="1">IFERROR(__xludf.DUMMYFUNCTION("""COMPUTED_VALUE""")," Jen Oshman")</f>
        <v xml:space="preserve"> Jen Oshman</v>
      </c>
      <c r="C540" s="12" t="str">
        <f ca="1">IFERROR(__xludf.DUMMYFUNCTION("""COMPUTED_VALUE"""),"Enough About Me: Find Lasting Joy in the Age of Self")</f>
        <v>Enough About Me: Find Lasting Joy in the Age of Self</v>
      </c>
      <c r="D540" s="12"/>
      <c r="E540" s="12" t="str">
        <f ca="1">IFERROR(__xludf.DUMMYFUNCTION("""COMPUTED_VALUE"""),"Book")</f>
        <v>Book</v>
      </c>
      <c r="F540" s="12" t="str">
        <f ca="1">IFERROR(__xludf.DUMMYFUNCTION("""COMPUTED_VALUE"""),"Discipleship")</f>
        <v>Discipleship</v>
      </c>
      <c r="G540" s="12"/>
      <c r="H540" s="12"/>
      <c r="I540" s="12"/>
      <c r="J540" s="12" t="str">
        <f ca="1">IFERROR(__xludf.DUMMYFUNCTION("""COMPUTED_VALUE"""),"Joy")</f>
        <v>Joy</v>
      </c>
      <c r="K540" s="13">
        <f ca="1">IFERROR(__xludf.DUMMYFUNCTION("""COMPUTED_VALUE"""),44178)</f>
        <v>44178</v>
      </c>
      <c r="L540" s="12"/>
      <c r="M540" s="12"/>
      <c r="N540" s="12" t="str">
        <f ca="1">IFERROR(__xludf.DUMMYFUNCTION("""COMPUTED_VALUE"""),"Table1")</f>
        <v>Table1</v>
      </c>
    </row>
    <row r="541" spans="1:14" ht="15.75" customHeight="1" x14ac:dyDescent="0.35">
      <c r="A541" s="12" t="str">
        <f ca="1">IFERROR(__xludf.DUMMYFUNCTION("""COMPUTED_VALUE"""),"Osman, Jim")</f>
        <v>Osman, Jim</v>
      </c>
      <c r="B541" s="12" t="str">
        <f ca="1">IFERROR(__xludf.DUMMYFUNCTION("""COMPUTED_VALUE""")," Jim Osman")</f>
        <v xml:space="preserve"> Jim Osman</v>
      </c>
      <c r="C541" s="12" t="str">
        <f ca="1">IFERROR(__xludf.DUMMYFUNCTION("""COMPUTED_VALUE"""),"Truth or Territory: A Biblical Approach to Spiritual Warfare")</f>
        <v>Truth or Territory: A Biblical Approach to Spiritual Warfare</v>
      </c>
      <c r="D541" s="12"/>
      <c r="E541" s="12" t="str">
        <f ca="1">IFERROR(__xludf.DUMMYFUNCTION("""COMPUTED_VALUE"""),"Book")</f>
        <v>Book</v>
      </c>
      <c r="F541" s="12" t="str">
        <f ca="1">IFERROR(__xludf.DUMMYFUNCTION("""COMPUTED_VALUE"""),"Discipleship")</f>
        <v>Discipleship</v>
      </c>
      <c r="G541" s="12"/>
      <c r="H541" s="12"/>
      <c r="I541" s="12"/>
      <c r="J541" s="12" t="str">
        <f ca="1">IFERROR(__xludf.DUMMYFUNCTION("""COMPUTED_VALUE"""),"Warfare")</f>
        <v>Warfare</v>
      </c>
      <c r="K541" s="13">
        <f ca="1">IFERROR(__xludf.DUMMYFUNCTION("""COMPUTED_VALUE"""),44772)</f>
        <v>44772</v>
      </c>
      <c r="L541" s="12"/>
      <c r="M541" s="12"/>
      <c r="N541" s="12" t="str">
        <f ca="1">IFERROR(__xludf.DUMMYFUNCTION("""COMPUTED_VALUE"""),"Table1")</f>
        <v>Table1</v>
      </c>
    </row>
    <row r="542" spans="1:14" ht="15.75" customHeight="1" x14ac:dyDescent="0.35">
      <c r="A542" s="12" t="str">
        <f ca="1">IFERROR(__xludf.DUMMYFUNCTION("""COMPUTED_VALUE"""),"Owen, John")</f>
        <v>Owen, John</v>
      </c>
      <c r="B542" s="12" t="str">
        <f ca="1">IFERROR(__xludf.DUMMYFUNCTION("""COMPUTED_VALUE""")," John Owen")</f>
        <v xml:space="preserve"> John Owen</v>
      </c>
      <c r="C542" s="12" t="str">
        <f ca="1">IFERROR(__xludf.DUMMYFUNCTION("""COMPUTED_VALUE"""),"The Mortification of Sin")</f>
        <v>The Mortification of Sin</v>
      </c>
      <c r="D542" s="12"/>
      <c r="E542" s="12" t="str">
        <f ca="1">IFERROR(__xludf.DUMMYFUNCTION("""COMPUTED_VALUE"""),"Book")</f>
        <v>Book</v>
      </c>
      <c r="F542" s="12" t="str">
        <f ca="1">IFERROR(__xludf.DUMMYFUNCTION("""COMPUTED_VALUE"""),"Discipleship")</f>
        <v>Discipleship</v>
      </c>
      <c r="G542" s="12"/>
      <c r="H542" s="12" t="str">
        <f ca="1">IFERROR(__xludf.DUMMYFUNCTION("""COMPUTED_VALUE"""),"Puritans")</f>
        <v>Puritans</v>
      </c>
      <c r="I542" s="12"/>
      <c r="J542" s="12"/>
      <c r="K542" s="13">
        <f ca="1">IFERROR(__xludf.DUMMYFUNCTION("""COMPUTED_VALUE"""),42705)</f>
        <v>42705</v>
      </c>
      <c r="L542" s="12"/>
      <c r="M542" s="12"/>
      <c r="N542" s="12" t="str">
        <f ca="1">IFERROR(__xludf.DUMMYFUNCTION("""COMPUTED_VALUE"""),"Table1")</f>
        <v>Table1</v>
      </c>
    </row>
    <row r="543" spans="1:14" ht="15.75" customHeight="1" x14ac:dyDescent="0.35">
      <c r="A543" s="12" t="str">
        <f ca="1">IFERROR(__xludf.DUMMYFUNCTION("""COMPUTED_VALUE"""),"Oxley, H. Dale")</f>
        <v>Oxley, H. Dale</v>
      </c>
      <c r="B543" s="12" t="str">
        <f ca="1">IFERROR(__xludf.DUMMYFUNCTION("""COMPUTED_VALUE""")," H. Dale Oxley")</f>
        <v xml:space="preserve"> H. Dale Oxley</v>
      </c>
      <c r="C543" s="12" t="str">
        <f ca="1">IFERROR(__xludf.DUMMYFUNCTION("""COMPUTED_VALUE"""),"One Rock at a Time")</f>
        <v>One Rock at a Time</v>
      </c>
      <c r="D543" s="12"/>
      <c r="E543" s="12" t="str">
        <f ca="1">IFERROR(__xludf.DUMMYFUNCTION("""COMPUTED_VALUE"""),"Book")</f>
        <v>Book</v>
      </c>
      <c r="F543" s="12" t="str">
        <f ca="1">IFERROR(__xludf.DUMMYFUNCTION("""COMPUTED_VALUE"""),"Biography")</f>
        <v>Biography</v>
      </c>
      <c r="G543" s="12"/>
      <c r="H543" s="12"/>
      <c r="I543" s="12"/>
      <c r="J543" s="12"/>
      <c r="K543" s="13">
        <f ca="1">IFERROR(__xludf.DUMMYFUNCTION("""COMPUTED_VALUE"""),40613)</f>
        <v>40613</v>
      </c>
      <c r="L543" s="12"/>
      <c r="M543" s="12"/>
      <c r="N543" s="12" t="str">
        <f ca="1">IFERROR(__xludf.DUMMYFUNCTION("""COMPUTED_VALUE"""),"Table1")</f>
        <v>Table1</v>
      </c>
    </row>
    <row r="544" spans="1:14" ht="15.75" customHeight="1" x14ac:dyDescent="0.35">
      <c r="A544" s="12" t="str">
        <f ca="1">IFERROR(__xludf.DUMMYFUNCTION("""COMPUTED_VALUE"""),"Packer, J. I.")</f>
        <v>Packer, J. I.</v>
      </c>
      <c r="B544" s="12" t="str">
        <f ca="1">IFERROR(__xludf.DUMMYFUNCTION("""COMPUTED_VALUE""")," J. I. Packer")</f>
        <v xml:space="preserve"> J. I. Packer</v>
      </c>
      <c r="C544" s="12" t="str">
        <f ca="1">IFERROR(__xludf.DUMMYFUNCTION("""COMPUTED_VALUE"""),"Evangelism and the Sovereignty of God")</f>
        <v>Evangelism and the Sovereignty of God</v>
      </c>
      <c r="D544" s="12"/>
      <c r="E544" s="12" t="str">
        <f ca="1">IFERROR(__xludf.DUMMYFUNCTION("""COMPUTED_VALUE"""),"Book")</f>
        <v>Book</v>
      </c>
      <c r="F544" s="12" t="str">
        <f ca="1">IFERROR(__xludf.DUMMYFUNCTION("""COMPUTED_VALUE"""),"Salvation")</f>
        <v>Salvation</v>
      </c>
      <c r="G544" s="12"/>
      <c r="H544" s="12"/>
      <c r="I544" s="12"/>
      <c r="J544" s="12" t="str">
        <f ca="1">IFERROR(__xludf.DUMMYFUNCTION("""COMPUTED_VALUE"""),"Evangelism")</f>
        <v>Evangelism</v>
      </c>
      <c r="K544" s="13">
        <f ca="1">IFERROR(__xludf.DUMMYFUNCTION("""COMPUTED_VALUE"""),40047)</f>
        <v>40047</v>
      </c>
      <c r="L544" s="12"/>
      <c r="M544" s="12"/>
      <c r="N544" s="12" t="str">
        <f ca="1">IFERROR(__xludf.DUMMYFUNCTION("""COMPUTED_VALUE"""),"Table1")</f>
        <v>Table1</v>
      </c>
    </row>
    <row r="545" spans="1:14" ht="15.75" customHeight="1" x14ac:dyDescent="0.35">
      <c r="A545" s="12" t="str">
        <f ca="1">IFERROR(__xludf.DUMMYFUNCTION("""COMPUTED_VALUE"""),"Packer, J. I.")</f>
        <v>Packer, J. I.</v>
      </c>
      <c r="B545" s="12" t="str">
        <f ca="1">IFERROR(__xludf.DUMMYFUNCTION("""COMPUTED_VALUE""")," J. I. Packer")</f>
        <v xml:space="preserve"> J. I. Packer</v>
      </c>
      <c r="C545" s="12" t="str">
        <f ca="1">IFERROR(__xludf.DUMMYFUNCTION("""COMPUTED_VALUE"""),"Faithfulness and Holiness: The Witness of JC Ryle")</f>
        <v>Faithfulness and Holiness: The Witness of JC Ryle</v>
      </c>
      <c r="D545" s="12"/>
      <c r="E545" s="12" t="str">
        <f ca="1">IFERROR(__xludf.DUMMYFUNCTION("""COMPUTED_VALUE"""),"Book")</f>
        <v>Book</v>
      </c>
      <c r="F545" s="12" t="str">
        <f ca="1">IFERROR(__xludf.DUMMYFUNCTION("""COMPUTED_VALUE"""),"Biography")</f>
        <v>Biography</v>
      </c>
      <c r="G545" s="12"/>
      <c r="H545" s="12"/>
      <c r="I545" s="12"/>
      <c r="J545" s="12"/>
      <c r="K545" s="13">
        <f ca="1">IFERROR(__xludf.DUMMYFUNCTION("""COMPUTED_VALUE"""),40048)</f>
        <v>40048</v>
      </c>
      <c r="L545" s="12"/>
      <c r="M545" s="12"/>
      <c r="N545" s="12" t="str">
        <f ca="1">IFERROR(__xludf.DUMMYFUNCTION("""COMPUTED_VALUE"""),"Table1")</f>
        <v>Table1</v>
      </c>
    </row>
    <row r="546" spans="1:14" ht="15.75" customHeight="1" x14ac:dyDescent="0.35">
      <c r="A546" s="12" t="str">
        <f ca="1">IFERROR(__xludf.DUMMYFUNCTION("""COMPUTED_VALUE"""),"Packer, J. I.")</f>
        <v>Packer, J. I.</v>
      </c>
      <c r="B546" s="12" t="str">
        <f ca="1">IFERROR(__xludf.DUMMYFUNCTION("""COMPUTED_VALUE""")," J. I. Packer")</f>
        <v xml:space="preserve"> J. I. Packer</v>
      </c>
      <c r="C546" s="12" t="str">
        <f ca="1">IFERROR(__xludf.DUMMYFUNCTION("""COMPUTED_VALUE"""),"God Has Spoken: Revelation and the Bible")</f>
        <v>God Has Spoken: Revelation and the Bible</v>
      </c>
      <c r="D546" s="12"/>
      <c r="E546" s="12" t="str">
        <f ca="1">IFERROR(__xludf.DUMMYFUNCTION("""COMPUTED_VALUE"""),"Book")</f>
        <v>Book</v>
      </c>
      <c r="F546" s="12" t="str">
        <f ca="1">IFERROR(__xludf.DUMMYFUNCTION("""COMPUTED_VALUE"""),"Bible")</f>
        <v>Bible</v>
      </c>
      <c r="G546" s="12"/>
      <c r="H546" s="12"/>
      <c r="I546" s="12"/>
      <c r="J546" s="12"/>
      <c r="K546" s="13">
        <f ca="1">IFERROR(__xludf.DUMMYFUNCTION("""COMPUTED_VALUE"""),40049)</f>
        <v>40049</v>
      </c>
      <c r="L546" s="12"/>
      <c r="M546" s="12"/>
      <c r="N546" s="12" t="str">
        <f ca="1">IFERROR(__xludf.DUMMYFUNCTION("""COMPUTED_VALUE"""),"Table1")</f>
        <v>Table1</v>
      </c>
    </row>
    <row r="547" spans="1:14" ht="15.75" customHeight="1" x14ac:dyDescent="0.35">
      <c r="A547" s="12" t="str">
        <f ca="1">IFERROR(__xludf.DUMMYFUNCTION("""COMPUTED_VALUE"""),"Packer, J. I.")</f>
        <v>Packer, J. I.</v>
      </c>
      <c r="B547" s="12" t="str">
        <f ca="1">IFERROR(__xludf.DUMMYFUNCTION("""COMPUTED_VALUE""")," J. I. Packer")</f>
        <v xml:space="preserve"> J. I. Packer</v>
      </c>
      <c r="C547" s="12" t="str">
        <f ca="1">IFERROR(__xludf.DUMMYFUNCTION("""COMPUTED_VALUE"""),"Keep in Step with the Spirit")</f>
        <v>Keep in Step with the Spirit</v>
      </c>
      <c r="D547" s="12"/>
      <c r="E547" s="12" t="str">
        <f ca="1">IFERROR(__xludf.DUMMYFUNCTION("""COMPUTED_VALUE"""),"Book")</f>
        <v>Book</v>
      </c>
      <c r="F547" s="12" t="str">
        <f ca="1">IFERROR(__xludf.DUMMYFUNCTION("""COMPUTED_VALUE"""),"Theology")</f>
        <v>Theology</v>
      </c>
      <c r="G547" s="12"/>
      <c r="H547" s="12"/>
      <c r="I547" s="12"/>
      <c r="J547" s="12" t="str">
        <f ca="1">IFERROR(__xludf.DUMMYFUNCTION("""COMPUTED_VALUE"""),"Holy Spirit")</f>
        <v>Holy Spirit</v>
      </c>
      <c r="K547" s="13">
        <f ca="1">IFERROR(__xludf.DUMMYFUNCTION("""COMPUTED_VALUE"""),40050)</f>
        <v>40050</v>
      </c>
      <c r="L547" s="12"/>
      <c r="M547" s="12"/>
      <c r="N547" s="12" t="str">
        <f ca="1">IFERROR(__xludf.DUMMYFUNCTION("""COMPUTED_VALUE"""),"Table1")</f>
        <v>Table1</v>
      </c>
    </row>
    <row r="548" spans="1:14" ht="15.75" customHeight="1" x14ac:dyDescent="0.35">
      <c r="A548" s="12" t="str">
        <f ca="1">IFERROR(__xludf.DUMMYFUNCTION("""COMPUTED_VALUE"""),"Packer, J. I.")</f>
        <v>Packer, J. I.</v>
      </c>
      <c r="B548" s="12" t="str">
        <f ca="1">IFERROR(__xludf.DUMMYFUNCTION("""COMPUTED_VALUE""")," J. I. Packer")</f>
        <v xml:space="preserve"> J. I. Packer</v>
      </c>
      <c r="C548" s="12" t="str">
        <f ca="1">IFERROR(__xludf.DUMMYFUNCTION("""COMPUTED_VALUE"""),"Knowing God")</f>
        <v>Knowing God</v>
      </c>
      <c r="D548" s="12"/>
      <c r="E548" s="12" t="str">
        <f ca="1">IFERROR(__xludf.DUMMYFUNCTION("""COMPUTED_VALUE"""),"Book")</f>
        <v>Book</v>
      </c>
      <c r="F548" s="12" t="str">
        <f ca="1">IFERROR(__xludf.DUMMYFUNCTION("""COMPUTED_VALUE"""),"Theology")</f>
        <v>Theology</v>
      </c>
      <c r="G548" s="12"/>
      <c r="H548" s="12"/>
      <c r="I548" s="12"/>
      <c r="J548" s="12"/>
      <c r="K548" s="13">
        <f ca="1">IFERROR(__xludf.DUMMYFUNCTION("""COMPUTED_VALUE"""),40051)</f>
        <v>40051</v>
      </c>
      <c r="L548" s="12"/>
      <c r="M548" s="12"/>
      <c r="N548" s="12" t="str">
        <f ca="1">IFERROR(__xludf.DUMMYFUNCTION("""COMPUTED_VALUE"""),"Table1")</f>
        <v>Table1</v>
      </c>
    </row>
    <row r="549" spans="1:14" ht="15.75" customHeight="1" x14ac:dyDescent="0.35">
      <c r="A549" s="12" t="str">
        <f ca="1">IFERROR(__xludf.DUMMYFUNCTION("""COMPUTED_VALUE"""),"Paquette, A.")</f>
        <v>Paquette, A.</v>
      </c>
      <c r="B549" s="12" t="str">
        <f ca="1">IFERROR(__xludf.DUMMYFUNCTION("""COMPUTED_VALUE""")," A. Paquette")</f>
        <v xml:space="preserve"> A. Paquette</v>
      </c>
      <c r="C549" s="12" t="str">
        <f ca="1">IFERROR(__xludf.DUMMYFUNCTION("""COMPUTED_VALUE"""),"God's Outlaw: The Real Story of William Tyndale and the English Bible")</f>
        <v>God's Outlaw: The Real Story of William Tyndale and the English Bible</v>
      </c>
      <c r="D549" s="12" t="str">
        <f ca="1">IFERROR(__xludf.DUMMYFUNCTION("""COMPUTED_VALUE"""),"Voice of the Martyrs")</f>
        <v>Voice of the Martyrs</v>
      </c>
      <c r="E549" s="12" t="str">
        <f ca="1">IFERROR(__xludf.DUMMYFUNCTION("""COMPUTED_VALUE"""),"Book")</f>
        <v>Book</v>
      </c>
      <c r="F549" s="12" t="str">
        <f ca="1">IFERROR(__xludf.DUMMYFUNCTION("""COMPUTED_VALUE"""),"Children")</f>
        <v>Children</v>
      </c>
      <c r="G549" s="12"/>
      <c r="H549" s="12"/>
      <c r="I549" s="12"/>
      <c r="J549" s="12"/>
      <c r="K549" s="13">
        <f ca="1">IFERROR(__xludf.DUMMYFUNCTION("""COMPUTED_VALUE"""),43831)</f>
        <v>43831</v>
      </c>
      <c r="L549" s="12"/>
      <c r="M549" s="12"/>
      <c r="N549" s="12" t="str">
        <f ca="1">IFERROR(__xludf.DUMMYFUNCTION("""COMPUTED_VALUE"""),"Table1")</f>
        <v>Table1</v>
      </c>
    </row>
    <row r="550" spans="1:14" ht="15.75" customHeight="1" x14ac:dyDescent="0.35">
      <c r="A550" s="12" t="str">
        <f ca="1">IFERROR(__xludf.DUMMYFUNCTION("""COMPUTED_VALUE"""),"Parker, T.H.L.")</f>
        <v>Parker, T.H.L.</v>
      </c>
      <c r="B550" s="12" t="str">
        <f ca="1">IFERROR(__xludf.DUMMYFUNCTION("""COMPUTED_VALUE""")," T.H.L. Parker")</f>
        <v xml:space="preserve"> T.H.L. Parker</v>
      </c>
      <c r="C550" s="12" t="str">
        <f ca="1">IFERROR(__xludf.DUMMYFUNCTION("""COMPUTED_VALUE"""),"Portrait of Calvin")</f>
        <v>Portrait of Calvin</v>
      </c>
      <c r="D550" s="12"/>
      <c r="E550" s="12" t="str">
        <f ca="1">IFERROR(__xludf.DUMMYFUNCTION("""COMPUTED_VALUE"""),"Book")</f>
        <v>Book</v>
      </c>
      <c r="F550" s="12" t="str">
        <f ca="1">IFERROR(__xludf.DUMMYFUNCTION("""COMPUTED_VALUE"""),"Biography")</f>
        <v>Biography</v>
      </c>
      <c r="G550" s="12"/>
      <c r="H550" s="12"/>
      <c r="I550" s="12"/>
      <c r="J550" s="12" t="str">
        <f ca="1">IFERROR(__xludf.DUMMYFUNCTION("""COMPUTED_VALUE"""),"Calvinism")</f>
        <v>Calvinism</v>
      </c>
      <c r="K550" s="13">
        <f ca="1">IFERROR(__xludf.DUMMYFUNCTION("""COMPUTED_VALUE"""),40951)</f>
        <v>40951</v>
      </c>
      <c r="L550" s="12"/>
      <c r="M550" s="12"/>
      <c r="N550" s="12" t="str">
        <f ca="1">IFERROR(__xludf.DUMMYFUNCTION("""COMPUTED_VALUE"""),"Table1")</f>
        <v>Table1</v>
      </c>
    </row>
    <row r="551" spans="1:14" ht="15.75" customHeight="1" x14ac:dyDescent="0.35">
      <c r="A551" s="12" t="str">
        <f ca="1">IFERROR(__xludf.DUMMYFUNCTION("""COMPUTED_VALUE"""),"Parsons, Burk editor")</f>
        <v>Parsons, Burk editor</v>
      </c>
      <c r="B551" s="12" t="str">
        <f ca="1">IFERROR(__xludf.DUMMYFUNCTION("""COMPUTED_VALUE""")," Burk editor Parsons")</f>
        <v xml:space="preserve"> Burk editor Parsons</v>
      </c>
      <c r="C551" s="12" t="str">
        <f ca="1">IFERROR(__xludf.DUMMYFUNCTION("""COMPUTED_VALUE"""),"Assured by God")</f>
        <v>Assured by God</v>
      </c>
      <c r="D551" s="12"/>
      <c r="E551" s="12" t="str">
        <f ca="1">IFERROR(__xludf.DUMMYFUNCTION("""COMPUTED_VALUE"""),"Book")</f>
        <v>Book</v>
      </c>
      <c r="F551" s="12" t="str">
        <f ca="1">IFERROR(__xludf.DUMMYFUNCTION("""COMPUTED_VALUE"""),"Salvation")</f>
        <v>Salvation</v>
      </c>
      <c r="G551" s="12"/>
      <c r="H551" s="12"/>
      <c r="I551" s="12"/>
      <c r="J551" s="12" t="str">
        <f ca="1">IFERROR(__xludf.DUMMYFUNCTION("""COMPUTED_VALUE"""),"Assurance")</f>
        <v>Assurance</v>
      </c>
      <c r="K551" s="13">
        <f ca="1">IFERROR(__xludf.DUMMYFUNCTION("""COMPUTED_VALUE"""),40052)</f>
        <v>40052</v>
      </c>
      <c r="L551" s="12"/>
      <c r="M551" s="12"/>
      <c r="N551" s="12" t="str">
        <f ca="1">IFERROR(__xludf.DUMMYFUNCTION("""COMPUTED_VALUE"""),"Table1")</f>
        <v>Table1</v>
      </c>
    </row>
    <row r="552" spans="1:14" ht="15.75" customHeight="1" x14ac:dyDescent="0.35">
      <c r="A552" s="12" t="str">
        <f ca="1">IFERROR(__xludf.DUMMYFUNCTION("""COMPUTED_VALUE"""),"Paton, James")</f>
        <v>Paton, James</v>
      </c>
      <c r="B552" s="12" t="str">
        <f ca="1">IFERROR(__xludf.DUMMYFUNCTION("""COMPUTED_VALUE""")," James Paton")</f>
        <v xml:space="preserve"> James Paton</v>
      </c>
      <c r="C552" s="12" t="str">
        <f ca="1">IFERROR(__xludf.DUMMYFUNCTION("""COMPUTED_VALUE"""),"Jonn G. Paton, an Autobiography, edited")</f>
        <v>Jonn G. Paton, an Autobiography, edited</v>
      </c>
      <c r="D552" s="12"/>
      <c r="E552" s="12" t="str">
        <f ca="1">IFERROR(__xludf.DUMMYFUNCTION("""COMPUTED_VALUE"""),"Book")</f>
        <v>Book</v>
      </c>
      <c r="F552" s="12" t="str">
        <f ca="1">IFERROR(__xludf.DUMMYFUNCTION("""COMPUTED_VALUE"""),"Biography")</f>
        <v>Biography</v>
      </c>
      <c r="G552" s="12"/>
      <c r="H552" s="12"/>
      <c r="I552" s="12"/>
      <c r="J552" s="12"/>
      <c r="K552" s="13">
        <f ca="1">IFERROR(__xludf.DUMMYFUNCTION("""COMPUTED_VALUE"""),40053)</f>
        <v>40053</v>
      </c>
      <c r="L552" s="12"/>
      <c r="M552" s="12"/>
      <c r="N552" s="12" t="str">
        <f ca="1">IFERROR(__xludf.DUMMYFUNCTION("""COMPUTED_VALUE"""),"Table1")</f>
        <v>Table1</v>
      </c>
    </row>
    <row r="553" spans="1:14" ht="15.75" customHeight="1" x14ac:dyDescent="0.35">
      <c r="A553" s="12" t="str">
        <f ca="1">IFERROR(__xludf.DUMMYFUNCTION("""COMPUTED_VALUE"""),"Payne, Tony")</f>
        <v>Payne, Tony</v>
      </c>
      <c r="B553" s="12" t="str">
        <f ca="1">IFERROR(__xludf.DUMMYFUNCTION("""COMPUTED_VALUE""")," Tony Payne")</f>
        <v xml:space="preserve"> Tony Payne</v>
      </c>
      <c r="C553" s="12" t="str">
        <f ca="1">IFERROR(__xludf.DUMMYFUNCTION("""COMPUTED_VALUE"""),"Guidance and the Voice of God")</f>
        <v>Guidance and the Voice of God</v>
      </c>
      <c r="D553" s="12" t="str">
        <f ca="1">IFERROR(__xludf.DUMMYFUNCTION("""COMPUTED_VALUE"""),"Jensen")</f>
        <v>Jensen</v>
      </c>
      <c r="E553" s="12" t="str">
        <f ca="1">IFERROR(__xludf.DUMMYFUNCTION("""COMPUTED_VALUE"""),"Book")</f>
        <v>Book</v>
      </c>
      <c r="F553" s="12" t="str">
        <f ca="1">IFERROR(__xludf.DUMMYFUNCTION("""COMPUTED_VALUE"""),"Discipleship")</f>
        <v>Discipleship</v>
      </c>
      <c r="G553" s="12"/>
      <c r="H553" s="12"/>
      <c r="I553" s="12"/>
      <c r="J553" s="12"/>
      <c r="K553" s="13">
        <f ca="1">IFERROR(__xludf.DUMMYFUNCTION("""COMPUTED_VALUE"""),40431)</f>
        <v>40431</v>
      </c>
      <c r="L553" s="12"/>
      <c r="M553" s="12"/>
      <c r="N553" s="12" t="str">
        <f ca="1">IFERROR(__xludf.DUMMYFUNCTION("""COMPUTED_VALUE"""),"Table1")</f>
        <v>Table1</v>
      </c>
    </row>
    <row r="554" spans="1:14" ht="15.75" customHeight="1" x14ac:dyDescent="0.35">
      <c r="A554" s="12" t="str">
        <f ca="1">IFERROR(__xludf.DUMMYFUNCTION("""COMPUTED_VALUE"""),"Payne, Tony")</f>
        <v>Payne, Tony</v>
      </c>
      <c r="B554" s="12" t="str">
        <f ca="1">IFERROR(__xludf.DUMMYFUNCTION("""COMPUTED_VALUE""")," Tony Payne")</f>
        <v xml:space="preserve"> Tony Payne</v>
      </c>
      <c r="C554" s="12" t="str">
        <f ca="1">IFERROR(__xludf.DUMMYFUNCTION("""COMPUTED_VALUE"""),"How to Walk into Church")</f>
        <v>How to Walk into Church</v>
      </c>
      <c r="D554" s="12"/>
      <c r="E554" s="12" t="str">
        <f ca="1">IFERROR(__xludf.DUMMYFUNCTION("""COMPUTED_VALUE"""),"Book")</f>
        <v>Book</v>
      </c>
      <c r="F554" s="12" t="str">
        <f ca="1">IFERROR(__xludf.DUMMYFUNCTION("""COMPUTED_VALUE"""),"Church")</f>
        <v>Church</v>
      </c>
      <c r="G554" s="12"/>
      <c r="H554" s="12"/>
      <c r="I554" s="12"/>
      <c r="J554" s="12"/>
      <c r="K554" s="13">
        <f ca="1">IFERROR(__xludf.DUMMYFUNCTION("""COMPUTED_VALUE"""),42511)</f>
        <v>42511</v>
      </c>
      <c r="L554" s="12"/>
      <c r="M554" s="12"/>
      <c r="N554" s="12" t="str">
        <f ca="1">IFERROR(__xludf.DUMMYFUNCTION("""COMPUTED_VALUE"""),"Table1")</f>
        <v>Table1</v>
      </c>
    </row>
    <row r="555" spans="1:14" ht="15.75" customHeight="1" x14ac:dyDescent="0.35">
      <c r="A555" s="12" t="str">
        <f ca="1">IFERROR(__xludf.DUMMYFUNCTION("""COMPUTED_VALUE"""),"Peace, Martha")</f>
        <v>Peace, Martha</v>
      </c>
      <c r="B555" s="12" t="str">
        <f ca="1">IFERROR(__xludf.DUMMYFUNCTION("""COMPUTED_VALUE""")," Martha Peace")</f>
        <v xml:space="preserve"> Martha Peace</v>
      </c>
      <c r="C555" s="12" t="str">
        <f ca="1">IFERROR(__xludf.DUMMYFUNCTION("""COMPUTED_VALUE"""),"Modesty")</f>
        <v>Modesty</v>
      </c>
      <c r="D555" s="12" t="str">
        <f ca="1">IFERROR(__xludf.DUMMYFUNCTION("""COMPUTED_VALUE"""),"Keller")</f>
        <v>Keller</v>
      </c>
      <c r="E555" s="12" t="str">
        <f ca="1">IFERROR(__xludf.DUMMYFUNCTION("""COMPUTED_VALUE"""),"Book")</f>
        <v>Book</v>
      </c>
      <c r="F555" s="12" t="str">
        <f ca="1">IFERROR(__xludf.DUMMYFUNCTION("""COMPUTED_VALUE"""),"Understanding Mankind")</f>
        <v>Understanding Mankind</v>
      </c>
      <c r="G555" s="12"/>
      <c r="H555" s="12"/>
      <c r="I555" s="12"/>
      <c r="J555" s="12" t="str">
        <f ca="1">IFERROR(__xludf.DUMMYFUNCTION("""COMPUTED_VALUE"""),"Modesty")</f>
        <v>Modesty</v>
      </c>
      <c r="K555" s="13">
        <f ca="1">IFERROR(__xludf.DUMMYFUNCTION("""COMPUTED_VALUE"""),43211)</f>
        <v>43211</v>
      </c>
      <c r="L555" s="12"/>
      <c r="M555" s="12"/>
      <c r="N555" s="12" t="str">
        <f ca="1">IFERROR(__xludf.DUMMYFUNCTION("""COMPUTED_VALUE"""),"Table1")</f>
        <v>Table1</v>
      </c>
    </row>
    <row r="556" spans="1:14" ht="15.75" customHeight="1" x14ac:dyDescent="0.35">
      <c r="A556" s="12" t="str">
        <f ca="1">IFERROR(__xludf.DUMMYFUNCTION("""COMPUTED_VALUE"""),"Peace, Martha")</f>
        <v>Peace, Martha</v>
      </c>
      <c r="B556" s="12" t="str">
        <f ca="1">IFERROR(__xludf.DUMMYFUNCTION("""COMPUTED_VALUE""")," Martha Peace")</f>
        <v xml:space="preserve"> Martha Peace</v>
      </c>
      <c r="C556" s="12" t="str">
        <f ca="1">IFERROR(__xludf.DUMMYFUNCTION("""COMPUTED_VALUE"""),"Tying the Knot Tighter/Marriage")</f>
        <v>Tying the Knot Tighter/Marriage</v>
      </c>
      <c r="D556" s="12" t="str">
        <f ca="1">IFERROR(__xludf.DUMMYFUNCTION("""COMPUTED_VALUE"""),"Crotts")</f>
        <v>Crotts</v>
      </c>
      <c r="E556" s="12" t="str">
        <f ca="1">IFERROR(__xludf.DUMMYFUNCTION("""COMPUTED_VALUE"""),"Book")</f>
        <v>Book</v>
      </c>
      <c r="F556" s="12" t="str">
        <f ca="1">IFERROR(__xludf.DUMMYFUNCTION("""COMPUTED_VALUE"""),"Understanding Mankind")</f>
        <v>Understanding Mankind</v>
      </c>
      <c r="G556" s="12"/>
      <c r="H556" s="12"/>
      <c r="I556" s="12"/>
      <c r="J556" s="12" t="str">
        <f ca="1">IFERROR(__xludf.DUMMYFUNCTION("""COMPUTED_VALUE"""),"Marriage")</f>
        <v>Marriage</v>
      </c>
      <c r="K556" s="13">
        <f ca="1">IFERROR(__xludf.DUMMYFUNCTION("""COMPUTED_VALUE"""),43211)</f>
        <v>43211</v>
      </c>
      <c r="L556" s="12"/>
      <c r="M556" s="12"/>
      <c r="N556" s="12" t="str">
        <f ca="1">IFERROR(__xludf.DUMMYFUNCTION("""COMPUTED_VALUE"""),"Table1")</f>
        <v>Table1</v>
      </c>
    </row>
    <row r="557" spans="1:14" ht="15.75" customHeight="1" x14ac:dyDescent="0.35">
      <c r="A557" s="12" t="str">
        <f ca="1">IFERROR(__xludf.DUMMYFUNCTION("""COMPUTED_VALUE"""),"Pearcey, Nancy R.")</f>
        <v>Pearcey, Nancy R.</v>
      </c>
      <c r="B557" s="12" t="str">
        <f ca="1">IFERROR(__xludf.DUMMYFUNCTION("""COMPUTED_VALUE""")," Nancy R. Pearcey")</f>
        <v xml:space="preserve"> Nancy R. Pearcey</v>
      </c>
      <c r="C557" s="12" t="str">
        <f ca="1">IFERROR(__xludf.DUMMYFUNCTION("""COMPUTED_VALUE"""),"Love Thy Body: Answering Hard Questions about Life and Sexuality")</f>
        <v>Love Thy Body: Answering Hard Questions about Life and Sexuality</v>
      </c>
      <c r="D557" s="12"/>
      <c r="E557" s="12" t="str">
        <f ca="1">IFERROR(__xludf.DUMMYFUNCTION("""COMPUTED_VALUE"""),"Book")</f>
        <v>Book</v>
      </c>
      <c r="F557" s="12" t="str">
        <f ca="1">IFERROR(__xludf.DUMMYFUNCTION("""COMPUTED_VALUE"""),"Understanding Mankind")</f>
        <v>Understanding Mankind</v>
      </c>
      <c r="G557" s="12"/>
      <c r="H557" s="12"/>
      <c r="I557" s="12"/>
      <c r="J557" s="12" t="str">
        <f ca="1">IFERROR(__xludf.DUMMYFUNCTION("""COMPUTED_VALUE"""),"Sexuality, Homosexuality, Gender Identity, Abortion")</f>
        <v>Sexuality, Homosexuality, Gender Identity, Abortion</v>
      </c>
      <c r="K557" s="13">
        <f ca="1">IFERROR(__xludf.DUMMYFUNCTION("""COMPUTED_VALUE"""),43132)</f>
        <v>43132</v>
      </c>
      <c r="L557" s="12"/>
      <c r="M557" s="12"/>
      <c r="N557" s="12" t="str">
        <f ca="1">IFERROR(__xludf.DUMMYFUNCTION("""COMPUTED_VALUE"""),"Table1")</f>
        <v>Table1</v>
      </c>
    </row>
    <row r="558" spans="1:14" ht="15.75" customHeight="1" x14ac:dyDescent="0.35">
      <c r="A558" s="12" t="str">
        <f ca="1">IFERROR(__xludf.DUMMYFUNCTION("""COMPUTED_VALUE"""),"Perman, Matt")</f>
        <v>Perman, Matt</v>
      </c>
      <c r="B558" s="12" t="str">
        <f ca="1">IFERROR(__xludf.DUMMYFUNCTION("""COMPUTED_VALUE""")," Matt Perman")</f>
        <v xml:space="preserve"> Matt Perman</v>
      </c>
      <c r="C558" s="12" t="str">
        <f ca="1">IFERROR(__xludf.DUMMYFUNCTION("""COMPUTED_VALUE"""),"What's Best Next")</f>
        <v>What's Best Next</v>
      </c>
      <c r="D558" s="12"/>
      <c r="E558" s="12" t="str">
        <f ca="1">IFERROR(__xludf.DUMMYFUNCTION("""COMPUTED_VALUE"""),"Book")</f>
        <v>Book</v>
      </c>
      <c r="F558" s="12" t="str">
        <f ca="1">IFERROR(__xludf.DUMMYFUNCTION("""COMPUTED_VALUE"""),"Discipleship")</f>
        <v>Discipleship</v>
      </c>
      <c r="G558" s="12"/>
      <c r="H558" s="12"/>
      <c r="I558" s="12"/>
      <c r="J558" s="12"/>
      <c r="K558" s="13">
        <f ca="1">IFERROR(__xludf.DUMMYFUNCTION("""COMPUTED_VALUE"""),41926)</f>
        <v>41926</v>
      </c>
      <c r="L558" s="12"/>
      <c r="M558" s="12"/>
      <c r="N558" s="12" t="str">
        <f ca="1">IFERROR(__xludf.DUMMYFUNCTION("""COMPUTED_VALUE"""),"Table1")</f>
        <v>Table1</v>
      </c>
    </row>
    <row r="559" spans="1:14" ht="15.75" customHeight="1" x14ac:dyDescent="0.35">
      <c r="A559" s="12" t="str">
        <f ca="1">IFERROR(__xludf.DUMMYFUNCTION("""COMPUTED_VALUE"""),"Perron, Sean; Harmon, Spencer")</f>
        <v>Perron, Sean; Harmon, Spencer</v>
      </c>
      <c r="B559" s="12" t="str">
        <f ca="1">IFERROR(__xludf.DUMMYFUNCTION("""COMPUTED_VALUE""")," Sean Perron; Spencer Harmon")</f>
        <v xml:space="preserve"> Sean Perron; Spencer Harmon</v>
      </c>
      <c r="C559" s="12" t="str">
        <f ca="1">IFERROR(__xludf.DUMMYFUNCTION("""COMPUTED_VALUE"""),"Letters to a Romantic on Engagement")</f>
        <v>Letters to a Romantic on Engagement</v>
      </c>
      <c r="D559" s="12"/>
      <c r="E559" s="12" t="str">
        <f ca="1">IFERROR(__xludf.DUMMYFUNCTION("""COMPUTED_VALUE"""),"Book")</f>
        <v>Book</v>
      </c>
      <c r="F559" s="12" t="str">
        <f ca="1">IFERROR(__xludf.DUMMYFUNCTION("""COMPUTED_VALUE"""),"Understanding Mankind")</f>
        <v>Understanding Mankind</v>
      </c>
      <c r="G559" s="12"/>
      <c r="H559" s="12"/>
      <c r="I559" s="12"/>
      <c r="J559" s="12" t="str">
        <f ca="1">IFERROR(__xludf.DUMMYFUNCTION("""COMPUTED_VALUE"""),"Marriage")</f>
        <v>Marriage</v>
      </c>
      <c r="K559" s="13"/>
      <c r="L559" s="12"/>
      <c r="M559" s="12"/>
      <c r="N559" s="12" t="str">
        <f ca="1">IFERROR(__xludf.DUMMYFUNCTION("""COMPUTED_VALUE"""),"Table1")</f>
        <v>Table1</v>
      </c>
    </row>
    <row r="560" spans="1:14" ht="15.75" customHeight="1" x14ac:dyDescent="0.35">
      <c r="A560" s="12" t="str">
        <f ca="1">IFERROR(__xludf.DUMMYFUNCTION("""COMPUTED_VALUE"""),"Petersen, Alicia")</f>
        <v>Petersen, Alicia</v>
      </c>
      <c r="B560" s="12" t="str">
        <f ca="1">IFERROR(__xludf.DUMMYFUNCTION("""COMPUTED_VALUE""")," Alicia Petersen")</f>
        <v xml:space="preserve"> Alicia Petersen</v>
      </c>
      <c r="C560" s="12" t="str">
        <f ca="1">IFERROR(__xludf.DUMMYFUNCTION("""COMPUTED_VALUE"""),"Out of Darkness")</f>
        <v>Out of Darkness</v>
      </c>
      <c r="D560" s="12"/>
      <c r="E560" s="12" t="str">
        <f ca="1">IFERROR(__xludf.DUMMYFUNCTION("""COMPUTED_VALUE"""),"Book")</f>
        <v>Book</v>
      </c>
      <c r="F560" s="12" t="str">
        <f ca="1">IFERROR(__xludf.DUMMYFUNCTION("""COMPUTED_VALUE"""),"Children")</f>
        <v>Children</v>
      </c>
      <c r="G560" s="12"/>
      <c r="H560" s="12"/>
      <c r="I560" s="12"/>
      <c r="J560" s="12"/>
      <c r="K560" s="13">
        <f ca="1">IFERROR(__xludf.DUMMYFUNCTION("""COMPUTED_VALUE"""),41011)</f>
        <v>41011</v>
      </c>
      <c r="L560" s="12"/>
      <c r="M560" s="12"/>
      <c r="N560" s="12" t="str">
        <f ca="1">IFERROR(__xludf.DUMMYFUNCTION("""COMPUTED_VALUE"""),"Table1")</f>
        <v>Table1</v>
      </c>
    </row>
    <row r="561" spans="1:14" ht="15.75" customHeight="1" x14ac:dyDescent="0.35">
      <c r="A561" s="12" t="str">
        <f ca="1">IFERROR(__xludf.DUMMYFUNCTION("""COMPUTED_VALUE"""),"Petersen, Alicia")</f>
        <v>Petersen, Alicia</v>
      </c>
      <c r="B561" s="12" t="str">
        <f ca="1">IFERROR(__xludf.DUMMYFUNCTION("""COMPUTED_VALUE""")," Alicia Petersen")</f>
        <v xml:space="preserve"> Alicia Petersen</v>
      </c>
      <c r="C561" s="12" t="str">
        <f ca="1">IFERROR(__xludf.DUMMYFUNCTION("""COMPUTED_VALUE"""),"Sparrow Alone")</f>
        <v>Sparrow Alone</v>
      </c>
      <c r="D561" s="12"/>
      <c r="E561" s="12" t="str">
        <f ca="1">IFERROR(__xludf.DUMMYFUNCTION("""COMPUTED_VALUE"""),"Book")</f>
        <v>Book</v>
      </c>
      <c r="F561" s="12" t="str">
        <f ca="1">IFERROR(__xludf.DUMMYFUNCTION("""COMPUTED_VALUE"""),"Children")</f>
        <v>Children</v>
      </c>
      <c r="G561" s="12"/>
      <c r="H561" s="12"/>
      <c r="I561" s="12"/>
      <c r="J561" s="12"/>
      <c r="K561" s="13">
        <f ca="1">IFERROR(__xludf.DUMMYFUNCTION("""COMPUTED_VALUE"""),41041)</f>
        <v>41041</v>
      </c>
      <c r="L561" s="12"/>
      <c r="M561" s="12"/>
      <c r="N561" s="12" t="str">
        <f ca="1">IFERROR(__xludf.DUMMYFUNCTION("""COMPUTED_VALUE"""),"Table1")</f>
        <v>Table1</v>
      </c>
    </row>
    <row r="562" spans="1:14" ht="15.75" customHeight="1" x14ac:dyDescent="0.35">
      <c r="A562" s="12" t="str">
        <f ca="1">IFERROR(__xludf.DUMMYFUNCTION("""COMPUTED_VALUE"""),"Peterson, Robert A.")</f>
        <v>Peterson, Robert A.</v>
      </c>
      <c r="B562" s="12" t="str">
        <f ca="1">IFERROR(__xludf.DUMMYFUNCTION("""COMPUTED_VALUE""")," Robert A. Peterson")</f>
        <v xml:space="preserve"> Robert A. Peterson</v>
      </c>
      <c r="C562" s="12" t="str">
        <f ca="1">IFERROR(__xludf.DUMMYFUNCTION("""COMPUTED_VALUE"""),"Our Secure Salvation: Preservation and Apostasy")</f>
        <v>Our Secure Salvation: Preservation and Apostasy</v>
      </c>
      <c r="D562" s="12" t="str">
        <f ca="1">IFERROR(__xludf.DUMMYFUNCTION("""COMPUTED_VALUE"""),"Explorations in Biblical Theology")</f>
        <v>Explorations in Biblical Theology</v>
      </c>
      <c r="E562" s="12" t="str">
        <f ca="1">IFERROR(__xludf.DUMMYFUNCTION("""COMPUTED_VALUE"""),"Book")</f>
        <v>Book</v>
      </c>
      <c r="F562" s="12" t="str">
        <f ca="1">IFERROR(__xludf.DUMMYFUNCTION("""COMPUTED_VALUE"""),"Theology")</f>
        <v>Theology</v>
      </c>
      <c r="G562" s="12"/>
      <c r="H562" s="12"/>
      <c r="I562" s="12"/>
      <c r="J562" s="12" t="str">
        <f ca="1">IFERROR(__xludf.DUMMYFUNCTION("""COMPUTED_VALUE"""),"Assurance, Eternal Security")</f>
        <v>Assurance, Eternal Security</v>
      </c>
      <c r="K562" s="13">
        <f ca="1">IFERROR(__xludf.DUMMYFUNCTION("""COMPUTED_VALUE"""),42705)</f>
        <v>42705</v>
      </c>
      <c r="L562" s="12"/>
      <c r="M562" s="12"/>
      <c r="N562" s="12" t="str">
        <f ca="1">IFERROR(__xludf.DUMMYFUNCTION("""COMPUTED_VALUE"""),"Table1")</f>
        <v>Table1</v>
      </c>
    </row>
    <row r="563" spans="1:14" ht="15.75" customHeight="1" x14ac:dyDescent="0.35">
      <c r="A563" s="12" t="str">
        <f ca="1">IFERROR(__xludf.DUMMYFUNCTION("""COMPUTED_VALUE"""),"Petty, James C.")</f>
        <v>Petty, James C.</v>
      </c>
      <c r="B563" s="12" t="str">
        <f ca="1">IFERROR(__xludf.DUMMYFUNCTION("""COMPUTED_VALUE""")," James C. Petty")</f>
        <v xml:space="preserve"> James C. Petty</v>
      </c>
      <c r="C563" s="12" t="str">
        <f ca="1">IFERROR(__xludf.DUMMYFUNCTION("""COMPUTED_VALUE"""),"Step by Step: Divine Guidance for Ordinary Christians")</f>
        <v>Step by Step: Divine Guidance for Ordinary Christians</v>
      </c>
      <c r="D563" s="12"/>
      <c r="E563" s="12" t="str">
        <f ca="1">IFERROR(__xludf.DUMMYFUNCTION("""COMPUTED_VALUE"""),"Book")</f>
        <v>Book</v>
      </c>
      <c r="F563" s="12" t="str">
        <f ca="1">IFERROR(__xludf.DUMMYFUNCTION("""COMPUTED_VALUE"""),"Discipleship")</f>
        <v>Discipleship</v>
      </c>
      <c r="G563" s="12"/>
      <c r="H563" s="12"/>
      <c r="I563" s="12"/>
      <c r="J563" s="12"/>
      <c r="K563" s="13">
        <f ca="1">IFERROR(__xludf.DUMMYFUNCTION("""COMPUTED_VALUE"""),41591)</f>
        <v>41591</v>
      </c>
      <c r="L563" s="12"/>
      <c r="M563" s="12"/>
      <c r="N563" s="12" t="str">
        <f ca="1">IFERROR(__xludf.DUMMYFUNCTION("""COMPUTED_VALUE"""),"Table1")</f>
        <v>Table1</v>
      </c>
    </row>
    <row r="564" spans="1:14" ht="15.75" customHeight="1" x14ac:dyDescent="0.35">
      <c r="A564" s="12" t="str">
        <f ca="1">IFERROR(__xludf.DUMMYFUNCTION("""COMPUTED_VALUE"""),"Phillips, Richard D.")</f>
        <v>Phillips, Richard D.</v>
      </c>
      <c r="B564" s="12" t="str">
        <f ca="1">IFERROR(__xludf.DUMMYFUNCTION("""COMPUTED_VALUE""")," Richard D. Phillips")</f>
        <v xml:space="preserve"> Richard D. Phillips</v>
      </c>
      <c r="C564" s="12" t="str">
        <f ca="1">IFERROR(__xludf.DUMMYFUNCTION("""COMPUTED_VALUE"""),"Faith Victorious: Finding Strength and Hope from Hebrews 11")</f>
        <v>Faith Victorious: Finding Strength and Hope from Hebrews 11</v>
      </c>
      <c r="D564" s="12"/>
      <c r="E564" s="12" t="str">
        <f ca="1">IFERROR(__xludf.DUMMYFUNCTION("""COMPUTED_VALUE"""),"Book")</f>
        <v>Book</v>
      </c>
      <c r="F564" s="12" t="str">
        <f ca="1">IFERROR(__xludf.DUMMYFUNCTION("""COMPUTED_VALUE"""),"Theology")</f>
        <v>Theology</v>
      </c>
      <c r="G564" s="12"/>
      <c r="H564" s="12"/>
      <c r="I564" s="12"/>
      <c r="J564" s="12" t="str">
        <f ca="1">IFERROR(__xludf.DUMMYFUNCTION("""COMPUTED_VALUE"""),"Faith")</f>
        <v>Faith</v>
      </c>
      <c r="K564" s="13">
        <f ca="1">IFERROR(__xludf.DUMMYFUNCTION("""COMPUTED_VALUE"""),43832)</f>
        <v>43832</v>
      </c>
      <c r="L564" s="12"/>
      <c r="M564" s="12"/>
      <c r="N564" s="12" t="str">
        <f ca="1">IFERROR(__xludf.DUMMYFUNCTION("""COMPUTED_VALUE"""),"Table1")</f>
        <v>Table1</v>
      </c>
    </row>
    <row r="565" spans="1:14" ht="15.75" customHeight="1" x14ac:dyDescent="0.35">
      <c r="A565" s="12" t="str">
        <f ca="1">IFERROR(__xludf.DUMMYFUNCTION("""COMPUTED_VALUE"""),"Phillips, Richard D.")</f>
        <v>Phillips, Richard D.</v>
      </c>
      <c r="B565" s="12" t="str">
        <f ca="1">IFERROR(__xludf.DUMMYFUNCTION("""COMPUTED_VALUE""")," Richard D. Phillips")</f>
        <v xml:space="preserve"> Richard D. Phillips</v>
      </c>
      <c r="C565" s="12" t="str">
        <f ca="1">IFERROR(__xludf.DUMMYFUNCTION("""COMPUTED_VALUE"""),"Masculine Mandate, The: God's Calling to Men")</f>
        <v>Masculine Mandate, The: God's Calling to Men</v>
      </c>
      <c r="D565" s="12"/>
      <c r="E565" s="12" t="str">
        <f ca="1">IFERROR(__xludf.DUMMYFUNCTION("""COMPUTED_VALUE"""),"Book")</f>
        <v>Book</v>
      </c>
      <c r="F565" s="12" t="str">
        <f ca="1">IFERROR(__xludf.DUMMYFUNCTION("""COMPUTED_VALUE"""),"Understanding Mankind")</f>
        <v>Understanding Mankind</v>
      </c>
      <c r="G565" s="12"/>
      <c r="H565" s="12"/>
      <c r="I565" s="12"/>
      <c r="J565" s="12" t="str">
        <f ca="1">IFERROR(__xludf.DUMMYFUNCTION("""COMPUTED_VALUE"""),"Christian Men")</f>
        <v>Christian Men</v>
      </c>
      <c r="K565" s="13">
        <f ca="1">IFERROR(__xludf.DUMMYFUNCTION("""COMPUTED_VALUE"""),42582)</f>
        <v>42582</v>
      </c>
      <c r="L565" s="12"/>
      <c r="M565" s="12"/>
      <c r="N565" s="12" t="str">
        <f ca="1">IFERROR(__xludf.DUMMYFUNCTION("""COMPUTED_VALUE"""),"Table1")</f>
        <v>Table1</v>
      </c>
    </row>
    <row r="566" spans="1:14" ht="15.75" customHeight="1" x14ac:dyDescent="0.35">
      <c r="A566" s="12" t="str">
        <f ca="1">IFERROR(__xludf.DUMMYFUNCTION("""COMPUTED_VALUE"""),"Phillips, Richard D.")</f>
        <v>Phillips, Richard D.</v>
      </c>
      <c r="B566" s="12" t="str">
        <f ca="1">IFERROR(__xludf.DUMMYFUNCTION("""COMPUTED_VALUE""")," Richard D. Phillips")</f>
        <v xml:space="preserve"> Richard D. Phillips</v>
      </c>
      <c r="C566" s="12" t="str">
        <f ca="1">IFERROR(__xludf.DUMMYFUNCTION("""COMPUTED_VALUE"""),"These Last Days: A Christian View of History")</f>
        <v>These Last Days: A Christian View of History</v>
      </c>
      <c r="D566" s="12" t="str">
        <f ca="1">IFERROR(__xludf.DUMMYFUNCTION("""COMPUTED_VALUE"""),"Fluhrer")</f>
        <v>Fluhrer</v>
      </c>
      <c r="E566" s="12" t="str">
        <f ca="1">IFERROR(__xludf.DUMMYFUNCTION("""COMPUTED_VALUE"""),"Book")</f>
        <v>Book</v>
      </c>
      <c r="F566" s="12" t="str">
        <f ca="1">IFERROR(__xludf.DUMMYFUNCTION("""COMPUTED_VALUE"""),"Eschatology")</f>
        <v>Eschatology</v>
      </c>
      <c r="G566" s="12"/>
      <c r="H566" s="12"/>
      <c r="I566" s="12"/>
      <c r="J566" s="12"/>
      <c r="K566" s="13"/>
      <c r="L566" s="12"/>
      <c r="M566" s="12"/>
      <c r="N566" s="12" t="str">
        <f ca="1">IFERROR(__xludf.DUMMYFUNCTION("""COMPUTED_VALUE"""),"Table1")</f>
        <v>Table1</v>
      </c>
    </row>
    <row r="567" spans="1:14" ht="15.75" customHeight="1" x14ac:dyDescent="0.35">
      <c r="A567" s="12" t="str">
        <f ca="1">IFERROR(__xludf.DUMMYFUNCTION("""COMPUTED_VALUE"""),"Phillips, Richard D.")</f>
        <v>Phillips, Richard D.</v>
      </c>
      <c r="B567" s="12" t="str">
        <f ca="1">IFERROR(__xludf.DUMMYFUNCTION("""COMPUTED_VALUE""")," Richard D. Phillips")</f>
        <v xml:space="preserve"> Richard D. Phillips</v>
      </c>
      <c r="C567" s="12" t="str">
        <f ca="1">IFERROR(__xludf.DUMMYFUNCTION("""COMPUTED_VALUE"""),"What's So Great About the Doctrines of Grace")</f>
        <v>What's So Great About the Doctrines of Grace</v>
      </c>
      <c r="D567" s="12"/>
      <c r="E567" s="12" t="str">
        <f ca="1">IFERROR(__xludf.DUMMYFUNCTION("""COMPUTED_VALUE"""),"Book")</f>
        <v>Book</v>
      </c>
      <c r="F567" s="12" t="str">
        <f ca="1">IFERROR(__xludf.DUMMYFUNCTION("""COMPUTED_VALUE"""),"Theology")</f>
        <v>Theology</v>
      </c>
      <c r="G567" s="12"/>
      <c r="H567" s="12"/>
      <c r="I567" s="12"/>
      <c r="J567" s="12"/>
      <c r="K567" s="13"/>
      <c r="L567" s="12"/>
      <c r="M567" s="12"/>
      <c r="N567" s="12" t="str">
        <f ca="1">IFERROR(__xludf.DUMMYFUNCTION("""COMPUTED_VALUE"""),"Table1")</f>
        <v>Table1</v>
      </c>
    </row>
    <row r="568" spans="1:14" ht="15.75" customHeight="1" x14ac:dyDescent="0.35">
      <c r="A568" s="12" t="str">
        <f ca="1">IFERROR(__xludf.DUMMYFUNCTION("""COMPUTED_VALUE"""),"Philpot, Kent")</f>
        <v>Philpot, Kent</v>
      </c>
      <c r="B568" s="12" t="str">
        <f ca="1">IFERROR(__xludf.DUMMYFUNCTION("""COMPUTED_VALUE""")," Kent Philpot")</f>
        <v xml:space="preserve"> Kent Philpot</v>
      </c>
      <c r="C568" s="12" t="str">
        <f ca="1">IFERROR(__xludf.DUMMYFUNCTION("""COMPUTED_VALUE"""),"Are You Being Duped?")</f>
        <v>Are You Being Duped?</v>
      </c>
      <c r="D568" s="12"/>
      <c r="E568" s="12" t="str">
        <f ca="1">IFERROR(__xludf.DUMMYFUNCTION("""COMPUTED_VALUE"""),"Book")</f>
        <v>Book</v>
      </c>
      <c r="F568" s="12" t="str">
        <f ca="1">IFERROR(__xludf.DUMMYFUNCTION("""COMPUTED_VALUE"""),"Worldview")</f>
        <v>Worldview</v>
      </c>
      <c r="G568" s="12"/>
      <c r="H568" s="12"/>
      <c r="I568" s="12"/>
      <c r="J568" s="12"/>
      <c r="K568" s="13">
        <f ca="1">IFERROR(__xludf.DUMMYFUNCTION("""COMPUTED_VALUE"""),40054)</f>
        <v>40054</v>
      </c>
      <c r="L568" s="12"/>
      <c r="M568" s="12"/>
      <c r="N568" s="12" t="str">
        <f ca="1">IFERROR(__xludf.DUMMYFUNCTION("""COMPUTED_VALUE"""),"Table1")</f>
        <v>Table1</v>
      </c>
    </row>
    <row r="569" spans="1:14" ht="15.75" customHeight="1" x14ac:dyDescent="0.35">
      <c r="A569" s="12" t="str">
        <f ca="1">IFERROR(__xludf.DUMMYFUNCTION("""COMPUTED_VALUE"""),"Pierre, Jeremy")</f>
        <v>Pierre, Jeremy</v>
      </c>
      <c r="B569" s="12" t="str">
        <f ca="1">IFERROR(__xludf.DUMMYFUNCTION("""COMPUTED_VALUE""")," Jeremy Pierre")</f>
        <v xml:space="preserve"> Jeremy Pierre</v>
      </c>
      <c r="C569" s="12" t="str">
        <f ca="1">IFERROR(__xludf.DUMMYFUNCTION("""COMPUTED_VALUE"""),"The Dynamic Heart in Daily Life: Connecting Christ to Human Experience")</f>
        <v>The Dynamic Heart in Daily Life: Connecting Christ to Human Experience</v>
      </c>
      <c r="D569" s="12"/>
      <c r="E569" s="12" t="str">
        <f ca="1">IFERROR(__xludf.DUMMYFUNCTION("""COMPUTED_VALUE"""),"Book")</f>
        <v>Book</v>
      </c>
      <c r="F569" s="12" t="str">
        <f ca="1">IFERROR(__xludf.DUMMYFUNCTION("""COMPUTED_VALUE"""),"Understanding Mankind")</f>
        <v>Understanding Mankind</v>
      </c>
      <c r="G569" s="12"/>
      <c r="H569" s="12"/>
      <c r="I569" s="12"/>
      <c r="J569" s="12" t="str">
        <f ca="1">IFERROR(__xludf.DUMMYFUNCTION("""COMPUTED_VALUE"""),"Counseling")</f>
        <v>Counseling</v>
      </c>
      <c r="K569" s="13"/>
      <c r="L569" s="12"/>
      <c r="M569" s="12"/>
      <c r="N569" s="12" t="str">
        <f ca="1">IFERROR(__xludf.DUMMYFUNCTION("""COMPUTED_VALUE"""),"Table1")</f>
        <v>Table1</v>
      </c>
    </row>
    <row r="570" spans="1:14" ht="15.75" customHeight="1" x14ac:dyDescent="0.35">
      <c r="A570" s="12" t="str">
        <f ca="1">IFERROR(__xludf.DUMMYFUNCTION("""COMPUTED_VALUE"""),"Piper, John")</f>
        <v>Piper, John</v>
      </c>
      <c r="B570" s="12" t="str">
        <f ca="1">IFERROR(__xludf.DUMMYFUNCTION("""COMPUTED_VALUE""")," John Piper")</f>
        <v xml:space="preserve"> John Piper</v>
      </c>
      <c r="C570" s="12" t="str">
        <f ca="1">IFERROR(__xludf.DUMMYFUNCTION("""COMPUTED_VALUE"""),"Contending for Our All")</f>
        <v>Contending for Our All</v>
      </c>
      <c r="D570" s="12"/>
      <c r="E570" s="12" t="str">
        <f ca="1">IFERROR(__xludf.DUMMYFUNCTION("""COMPUTED_VALUE"""),"Book")</f>
        <v>Book</v>
      </c>
      <c r="F570" s="12" t="str">
        <f ca="1">IFERROR(__xludf.DUMMYFUNCTION("""COMPUTED_VALUE"""),"Biography")</f>
        <v>Biography</v>
      </c>
      <c r="G570" s="12"/>
      <c r="H570" s="12"/>
      <c r="I570" s="12"/>
      <c r="J570" s="12"/>
      <c r="K570" s="13">
        <f ca="1">IFERROR(__xludf.DUMMYFUNCTION("""COMPUTED_VALUE"""),40055)</f>
        <v>40055</v>
      </c>
      <c r="L570" s="12"/>
      <c r="M570" s="12"/>
      <c r="N570" s="12" t="str">
        <f ca="1">IFERROR(__xludf.DUMMYFUNCTION("""COMPUTED_VALUE"""),"Table1")</f>
        <v>Table1</v>
      </c>
    </row>
    <row r="571" spans="1:14" ht="15.75" customHeight="1" x14ac:dyDescent="0.35">
      <c r="A571" s="12" t="str">
        <f ca="1">IFERROR(__xludf.DUMMYFUNCTION("""COMPUTED_VALUE"""),"Piper, John")</f>
        <v>Piper, John</v>
      </c>
      <c r="B571" s="12" t="str">
        <f ca="1">IFERROR(__xludf.DUMMYFUNCTION("""COMPUTED_VALUE""")," John Piper")</f>
        <v xml:space="preserve"> John Piper</v>
      </c>
      <c r="C571" s="12" t="str">
        <f ca="1">IFERROR(__xludf.DUMMYFUNCTION("""COMPUTED_VALUE"""),"Desiring God")</f>
        <v>Desiring God</v>
      </c>
      <c r="D571" s="12"/>
      <c r="E571" s="12" t="str">
        <f ca="1">IFERROR(__xludf.DUMMYFUNCTION("""COMPUTED_VALUE"""),"Book")</f>
        <v>Book</v>
      </c>
      <c r="F571" s="12" t="str">
        <f ca="1">IFERROR(__xludf.DUMMYFUNCTION("""COMPUTED_VALUE"""),"Discipleship")</f>
        <v>Discipleship</v>
      </c>
      <c r="G571" s="12"/>
      <c r="H571" s="12"/>
      <c r="I571" s="12"/>
      <c r="J571" s="12"/>
      <c r="K571" s="13">
        <f ca="1">IFERROR(__xludf.DUMMYFUNCTION("""COMPUTED_VALUE"""),40056)</f>
        <v>40056</v>
      </c>
      <c r="L571" s="12"/>
      <c r="M571" s="12"/>
      <c r="N571" s="12" t="str">
        <f ca="1">IFERROR(__xludf.DUMMYFUNCTION("""COMPUTED_VALUE"""),"Table1")</f>
        <v>Table1</v>
      </c>
    </row>
    <row r="572" spans="1:14" ht="15.75" customHeight="1" x14ac:dyDescent="0.35">
      <c r="A572" s="12" t="str">
        <f ca="1">IFERROR(__xludf.DUMMYFUNCTION("""COMPUTED_VALUE"""),"Piper, John")</f>
        <v>Piper, John</v>
      </c>
      <c r="B572" s="12" t="str">
        <f ca="1">IFERROR(__xludf.DUMMYFUNCTION("""COMPUTED_VALUE""")," John Piper")</f>
        <v xml:space="preserve"> John Piper</v>
      </c>
      <c r="C572" s="12" t="str">
        <f ca="1">IFERROR(__xludf.DUMMYFUNCTION("""COMPUTED_VALUE"""),"Don't Waste Your Life")</f>
        <v>Don't Waste Your Life</v>
      </c>
      <c r="D572" s="12"/>
      <c r="E572" s="12" t="str">
        <f ca="1">IFERROR(__xludf.DUMMYFUNCTION("""COMPUTED_VALUE"""),"Book")</f>
        <v>Book</v>
      </c>
      <c r="F572" s="12" t="str">
        <f ca="1">IFERROR(__xludf.DUMMYFUNCTION("""COMPUTED_VALUE"""),"Discipleship")</f>
        <v>Discipleship</v>
      </c>
      <c r="G572" s="12"/>
      <c r="H572" s="12"/>
      <c r="I572" s="12"/>
      <c r="J572" s="12"/>
      <c r="K572" s="13">
        <f ca="1">IFERROR(__xludf.DUMMYFUNCTION("""COMPUTED_VALUE"""),40034)</f>
        <v>40034</v>
      </c>
      <c r="L572" s="12"/>
      <c r="M572" s="12"/>
      <c r="N572" s="12" t="str">
        <f ca="1">IFERROR(__xludf.DUMMYFUNCTION("""COMPUTED_VALUE"""),"Table1")</f>
        <v>Table1</v>
      </c>
    </row>
    <row r="573" spans="1:14" ht="15.75" customHeight="1" x14ac:dyDescent="0.35">
      <c r="A573" s="12" t="str">
        <f ca="1">IFERROR(__xludf.DUMMYFUNCTION("""COMPUTED_VALUE"""),"Piper, John")</f>
        <v>Piper, John</v>
      </c>
      <c r="B573" s="12" t="str">
        <f ca="1">IFERROR(__xludf.DUMMYFUNCTION("""COMPUTED_VALUE""")," John Piper")</f>
        <v xml:space="preserve"> John Piper</v>
      </c>
      <c r="C573" s="12" t="str">
        <f ca="1">IFERROR(__xludf.DUMMYFUNCTION("""COMPUTED_VALUE"""),"Finally Alive")</f>
        <v>Finally Alive</v>
      </c>
      <c r="D573" s="12"/>
      <c r="E573" s="12" t="str">
        <f ca="1">IFERROR(__xludf.DUMMYFUNCTION("""COMPUTED_VALUE"""),"Book")</f>
        <v>Book</v>
      </c>
      <c r="F573" s="12" t="str">
        <f ca="1">IFERROR(__xludf.DUMMYFUNCTION("""COMPUTED_VALUE"""),"Salvation")</f>
        <v>Salvation</v>
      </c>
      <c r="G573" s="12"/>
      <c r="H573" s="12"/>
      <c r="I573" s="12"/>
      <c r="J573" s="12"/>
      <c r="K573" s="13">
        <f ca="1">IFERROR(__xludf.DUMMYFUNCTION("""COMPUTED_VALUE"""),40035)</f>
        <v>40035</v>
      </c>
      <c r="L573" s="12"/>
      <c r="M573" s="12"/>
      <c r="N573" s="12" t="str">
        <f ca="1">IFERROR(__xludf.DUMMYFUNCTION("""COMPUTED_VALUE"""),"Table1")</f>
        <v>Table1</v>
      </c>
    </row>
    <row r="574" spans="1:14" ht="15.75" customHeight="1" x14ac:dyDescent="0.35">
      <c r="A574" s="12" t="str">
        <f ca="1">IFERROR(__xludf.DUMMYFUNCTION("""COMPUTED_VALUE"""),"Piper, John")</f>
        <v>Piper, John</v>
      </c>
      <c r="B574" s="12" t="str">
        <f ca="1">IFERROR(__xludf.DUMMYFUNCTION("""COMPUTED_VALUE""")," John Piper")</f>
        <v xml:space="preserve"> John Piper</v>
      </c>
      <c r="C574" s="12" t="str">
        <f ca="1">IFERROR(__xludf.DUMMYFUNCTION("""COMPUTED_VALUE"""),"Hidden Smile of God")</f>
        <v>Hidden Smile of God</v>
      </c>
      <c r="D574" s="12"/>
      <c r="E574" s="12" t="str">
        <f ca="1">IFERROR(__xludf.DUMMYFUNCTION("""COMPUTED_VALUE"""),"Book")</f>
        <v>Book</v>
      </c>
      <c r="F574" s="12" t="str">
        <f ca="1">IFERROR(__xludf.DUMMYFUNCTION("""COMPUTED_VALUE"""),"Biography")</f>
        <v>Biography</v>
      </c>
      <c r="G574" s="12"/>
      <c r="H574" s="12"/>
      <c r="I574" s="12"/>
      <c r="J574" s="12"/>
      <c r="K574" s="13">
        <f ca="1">IFERROR(__xludf.DUMMYFUNCTION("""COMPUTED_VALUE"""),40036)</f>
        <v>40036</v>
      </c>
      <c r="L574" s="12"/>
      <c r="M574" s="12"/>
      <c r="N574" s="12" t="str">
        <f ca="1">IFERROR(__xludf.DUMMYFUNCTION("""COMPUTED_VALUE"""),"Table1")</f>
        <v>Table1</v>
      </c>
    </row>
    <row r="575" spans="1:14" ht="15.75" customHeight="1" x14ac:dyDescent="0.35">
      <c r="A575" s="12" t="str">
        <f ca="1">IFERROR(__xludf.DUMMYFUNCTION("""COMPUTED_VALUE"""),"Piper, John")</f>
        <v>Piper, John</v>
      </c>
      <c r="B575" s="12" t="str">
        <f ca="1">IFERROR(__xludf.DUMMYFUNCTION("""COMPUTED_VALUE""")," John Piper")</f>
        <v xml:space="preserve"> John Piper</v>
      </c>
      <c r="C575" s="12" t="str">
        <f ca="1">IFERROR(__xludf.DUMMYFUNCTION("""COMPUTED_VALUE"""),"A Holy Ambition: To Preach Where Christ Has Not Been Named")</f>
        <v>A Holy Ambition: To Preach Where Christ Has Not Been Named</v>
      </c>
      <c r="D575" s="12"/>
      <c r="E575" s="12" t="str">
        <f ca="1">IFERROR(__xludf.DUMMYFUNCTION("""COMPUTED_VALUE"""),"Book")</f>
        <v>Book</v>
      </c>
      <c r="F575" s="12" t="str">
        <f ca="1">IFERROR(__xludf.DUMMYFUNCTION("""COMPUTED_VALUE"""),"Salvation")</f>
        <v>Salvation</v>
      </c>
      <c r="G575" s="12"/>
      <c r="H575" s="12"/>
      <c r="I575" s="12"/>
      <c r="J575" s="12" t="str">
        <f ca="1">IFERROR(__xludf.DUMMYFUNCTION("""COMPUTED_VALUE"""),"Evangelism")</f>
        <v>Evangelism</v>
      </c>
      <c r="K575" s="13">
        <f ca="1">IFERROR(__xludf.DUMMYFUNCTION("""COMPUTED_VALUE"""),40980)</f>
        <v>40980</v>
      </c>
      <c r="L575" s="12"/>
      <c r="M575" s="12"/>
      <c r="N575" s="12" t="str">
        <f ca="1">IFERROR(__xludf.DUMMYFUNCTION("""COMPUTED_VALUE"""),"Table1")</f>
        <v>Table1</v>
      </c>
    </row>
    <row r="576" spans="1:14" ht="15.75" customHeight="1" x14ac:dyDescent="0.35">
      <c r="A576" s="12" t="str">
        <f ca="1">IFERROR(__xludf.DUMMYFUNCTION("""COMPUTED_VALUE"""),"Piper, John")</f>
        <v>Piper, John</v>
      </c>
      <c r="B576" s="12" t="str">
        <f ca="1">IFERROR(__xludf.DUMMYFUNCTION("""COMPUTED_VALUE""")," John Piper")</f>
        <v xml:space="preserve"> John Piper</v>
      </c>
      <c r="C576" s="12" t="str">
        <f ca="1">IFERROR(__xludf.DUMMYFUNCTION("""COMPUTED_VALUE"""),"Living in the Light Money Sex &amp; Power")</f>
        <v>Living in the Light Money Sex &amp; Power</v>
      </c>
      <c r="D576" s="12"/>
      <c r="E576" s="12" t="str">
        <f ca="1">IFERROR(__xludf.DUMMYFUNCTION("""COMPUTED_VALUE"""),"Book")</f>
        <v>Book</v>
      </c>
      <c r="F576" s="12" t="str">
        <f ca="1">IFERROR(__xludf.DUMMYFUNCTION("""COMPUTED_VALUE"""),"Understanding Mankind")</f>
        <v>Understanding Mankind</v>
      </c>
      <c r="G576" s="12"/>
      <c r="H576" s="12"/>
      <c r="I576" s="12"/>
      <c r="J576" s="12" t="str">
        <f ca="1">IFERROR(__xludf.DUMMYFUNCTION("""COMPUTED_VALUE"""),"Idolatry, Sexuality, Finances")</f>
        <v>Idolatry, Sexuality, Finances</v>
      </c>
      <c r="K576" s="13">
        <f ca="1">IFERROR(__xludf.DUMMYFUNCTION("""COMPUTED_VALUE"""),42503)</f>
        <v>42503</v>
      </c>
      <c r="L576" s="12"/>
      <c r="M576" s="12"/>
      <c r="N576" s="12" t="str">
        <f ca="1">IFERROR(__xludf.DUMMYFUNCTION("""COMPUTED_VALUE"""),"Table1")</f>
        <v>Table1</v>
      </c>
    </row>
    <row r="577" spans="1:14" ht="15.75" customHeight="1" x14ac:dyDescent="0.35">
      <c r="A577" s="12" t="str">
        <f ca="1">IFERROR(__xludf.DUMMYFUNCTION("""COMPUTED_VALUE"""),"Piper, John")</f>
        <v>Piper, John</v>
      </c>
      <c r="B577" s="12" t="str">
        <f ca="1">IFERROR(__xludf.DUMMYFUNCTION("""COMPUTED_VALUE""")," John Piper")</f>
        <v xml:space="preserve"> John Piper</v>
      </c>
      <c r="C577" s="12" t="str">
        <f ca="1">IFERROR(__xludf.DUMMYFUNCTION("""COMPUTED_VALUE"""),"A Peculiar Glory: How the Christian Scriptures Reveal Their Complete Truthfulness")</f>
        <v>A Peculiar Glory: How the Christian Scriptures Reveal Their Complete Truthfulness</v>
      </c>
      <c r="D577" s="12"/>
      <c r="E577" s="12" t="str">
        <f ca="1">IFERROR(__xludf.DUMMYFUNCTION("""COMPUTED_VALUE"""),"Book")</f>
        <v>Book</v>
      </c>
      <c r="F577" s="12" t="str">
        <f ca="1">IFERROR(__xludf.DUMMYFUNCTION("""COMPUTED_VALUE"""),"Bible")</f>
        <v>Bible</v>
      </c>
      <c r="G577" s="12"/>
      <c r="H577" s="12"/>
      <c r="I577" s="12"/>
      <c r="J577" s="12"/>
      <c r="K577" s="13">
        <f ca="1">IFERROR(__xludf.DUMMYFUNCTION("""COMPUTED_VALUE"""),42511)</f>
        <v>42511</v>
      </c>
      <c r="L577" s="12"/>
      <c r="M577" s="12"/>
      <c r="N577" s="12" t="str">
        <f ca="1">IFERROR(__xludf.DUMMYFUNCTION("""COMPUTED_VALUE"""),"Table1")</f>
        <v>Table1</v>
      </c>
    </row>
    <row r="578" spans="1:14" ht="15.75" customHeight="1" x14ac:dyDescent="0.35">
      <c r="A578" s="12" t="str">
        <f ca="1">IFERROR(__xludf.DUMMYFUNCTION("""COMPUTED_VALUE"""),"Piper, John")</f>
        <v>Piper, John</v>
      </c>
      <c r="B578" s="12" t="str">
        <f ca="1">IFERROR(__xludf.DUMMYFUNCTION("""COMPUTED_VALUE""")," John Piper")</f>
        <v xml:space="preserve"> John Piper</v>
      </c>
      <c r="C578" s="12" t="str">
        <f ca="1">IFERROR(__xludf.DUMMYFUNCTION("""COMPUTED_VALUE"""),"The Pleasures of God")</f>
        <v>The Pleasures of God</v>
      </c>
      <c r="D578" s="12"/>
      <c r="E578" s="12" t="str">
        <f ca="1">IFERROR(__xludf.DUMMYFUNCTION("""COMPUTED_VALUE"""),"Book")</f>
        <v>Book</v>
      </c>
      <c r="F578" s="12" t="str">
        <f ca="1">IFERROR(__xludf.DUMMYFUNCTION("""COMPUTED_VALUE"""),"Theology")</f>
        <v>Theology</v>
      </c>
      <c r="G578" s="12"/>
      <c r="H578" s="12"/>
      <c r="I578" s="12"/>
      <c r="J578" s="12"/>
      <c r="K578" s="13">
        <f ca="1">IFERROR(__xludf.DUMMYFUNCTION("""COMPUTED_VALUE"""),40037)</f>
        <v>40037</v>
      </c>
      <c r="L578" s="12"/>
      <c r="M578" s="12"/>
      <c r="N578" s="12" t="str">
        <f ca="1">IFERROR(__xludf.DUMMYFUNCTION("""COMPUTED_VALUE"""),"Table1")</f>
        <v>Table1</v>
      </c>
    </row>
    <row r="579" spans="1:14" ht="15.75" customHeight="1" x14ac:dyDescent="0.35">
      <c r="A579" s="12" t="str">
        <f ca="1">IFERROR(__xludf.DUMMYFUNCTION("""COMPUTED_VALUE"""),"Piper, John")</f>
        <v>Piper, John</v>
      </c>
      <c r="B579" s="12" t="str">
        <f ca="1">IFERROR(__xludf.DUMMYFUNCTION("""COMPUTED_VALUE""")," John Piper")</f>
        <v xml:space="preserve"> John Piper</v>
      </c>
      <c r="C579" s="12" t="str">
        <f ca="1">IFERROR(__xludf.DUMMYFUNCTION("""COMPUTED_VALUE"""),"The Roots of Endurance")</f>
        <v>The Roots of Endurance</v>
      </c>
      <c r="D579" s="12"/>
      <c r="E579" s="12" t="str">
        <f ca="1">IFERROR(__xludf.DUMMYFUNCTION("""COMPUTED_VALUE"""),"Book")</f>
        <v>Book</v>
      </c>
      <c r="F579" s="12" t="str">
        <f ca="1">IFERROR(__xludf.DUMMYFUNCTION("""COMPUTED_VALUE"""),"Biography")</f>
        <v>Biography</v>
      </c>
      <c r="G579" s="12"/>
      <c r="H579" s="12"/>
      <c r="I579" s="12"/>
      <c r="J579" s="12"/>
      <c r="K579" s="13">
        <f ca="1">IFERROR(__xludf.DUMMYFUNCTION("""COMPUTED_VALUE"""),40039)</f>
        <v>40039</v>
      </c>
      <c r="L579" s="12"/>
      <c r="M579" s="12"/>
      <c r="N579" s="12" t="str">
        <f ca="1">IFERROR(__xludf.DUMMYFUNCTION("""COMPUTED_VALUE"""),"Table1")</f>
        <v>Table1</v>
      </c>
    </row>
    <row r="580" spans="1:14" ht="15.75" customHeight="1" x14ac:dyDescent="0.35">
      <c r="A580" s="12" t="str">
        <f ca="1">IFERROR(__xludf.DUMMYFUNCTION("""COMPUTED_VALUE"""),"Piper, John")</f>
        <v>Piper, John</v>
      </c>
      <c r="B580" s="12" t="str">
        <f ca="1">IFERROR(__xludf.DUMMYFUNCTION("""COMPUTED_VALUE""")," John Piper")</f>
        <v xml:space="preserve"> John Piper</v>
      </c>
      <c r="C580" s="12" t="str">
        <f ca="1">IFERROR(__xludf.DUMMYFUNCTION("""COMPUTED_VALUE"""),"Spectacular Sins and Their Global Purpose . . .")</f>
        <v>Spectacular Sins and Their Global Purpose . . .</v>
      </c>
      <c r="D580" s="12"/>
      <c r="E580" s="12" t="str">
        <f ca="1">IFERROR(__xludf.DUMMYFUNCTION("""COMPUTED_VALUE"""),"Book")</f>
        <v>Book</v>
      </c>
      <c r="F580" s="12" t="str">
        <f ca="1">IFERROR(__xludf.DUMMYFUNCTION("""COMPUTED_VALUE"""),"Theology")</f>
        <v>Theology</v>
      </c>
      <c r="G580" s="12"/>
      <c r="H580" s="12"/>
      <c r="I580" s="12"/>
      <c r="J580" s="12" t="str">
        <f ca="1">IFERROR(__xludf.DUMMYFUNCTION("""COMPUTED_VALUE"""),"Sin")</f>
        <v>Sin</v>
      </c>
      <c r="K580" s="13">
        <f ca="1">IFERROR(__xludf.DUMMYFUNCTION("""COMPUTED_VALUE"""),40040)</f>
        <v>40040</v>
      </c>
      <c r="L580" s="12"/>
      <c r="M580" s="12"/>
      <c r="N580" s="12" t="str">
        <f ca="1">IFERROR(__xludf.DUMMYFUNCTION("""COMPUTED_VALUE"""),"Table1")</f>
        <v>Table1</v>
      </c>
    </row>
    <row r="581" spans="1:14" ht="15.75" customHeight="1" x14ac:dyDescent="0.35">
      <c r="A581" s="12" t="str">
        <f ca="1">IFERROR(__xludf.DUMMYFUNCTION("""COMPUTED_VALUE"""),"Piper, John")</f>
        <v>Piper, John</v>
      </c>
      <c r="B581" s="12" t="str">
        <f ca="1">IFERROR(__xludf.DUMMYFUNCTION("""COMPUTED_VALUE""")," John Piper")</f>
        <v xml:space="preserve"> John Piper</v>
      </c>
      <c r="C581" s="12" t="str">
        <f ca="1">IFERROR(__xludf.DUMMYFUNCTION("""COMPUTED_VALUE"""),"Suffering and the Sovereignty of God")</f>
        <v>Suffering and the Sovereignty of God</v>
      </c>
      <c r="D581" s="12" t="str">
        <f ca="1">IFERROR(__xludf.DUMMYFUNCTION("""COMPUTED_VALUE"""),"Taylor")</f>
        <v>Taylor</v>
      </c>
      <c r="E581" s="12" t="str">
        <f ca="1">IFERROR(__xludf.DUMMYFUNCTION("""COMPUTED_VALUE"""),"Book")</f>
        <v>Book</v>
      </c>
      <c r="F581" s="12" t="str">
        <f ca="1">IFERROR(__xludf.DUMMYFUNCTION("""COMPUTED_VALUE"""),"Understanding Mankind")</f>
        <v>Understanding Mankind</v>
      </c>
      <c r="G581" s="12"/>
      <c r="H581" s="12"/>
      <c r="I581" s="12"/>
      <c r="J581" s="12" t="str">
        <f ca="1">IFERROR(__xludf.DUMMYFUNCTION("""COMPUTED_VALUE"""),"Suffering")</f>
        <v>Suffering</v>
      </c>
      <c r="K581" s="13">
        <f ca="1">IFERROR(__xludf.DUMMYFUNCTION("""COMPUTED_VALUE"""),40041)</f>
        <v>40041</v>
      </c>
      <c r="L581" s="12"/>
      <c r="M581" s="12"/>
      <c r="N581" s="12" t="str">
        <f ca="1">IFERROR(__xludf.DUMMYFUNCTION("""COMPUTED_VALUE"""),"Table1")</f>
        <v>Table1</v>
      </c>
    </row>
    <row r="582" spans="1:14" ht="15.75" customHeight="1" x14ac:dyDescent="0.35">
      <c r="A582" s="12" t="str">
        <f ca="1">IFERROR(__xludf.DUMMYFUNCTION("""COMPUTED_VALUE"""),"Piper, John")</f>
        <v>Piper, John</v>
      </c>
      <c r="B582" s="12" t="str">
        <f ca="1">IFERROR(__xludf.DUMMYFUNCTION("""COMPUTED_VALUE""")," John Piper")</f>
        <v xml:space="preserve"> John Piper</v>
      </c>
      <c r="C582" s="12" t="str">
        <f ca="1">IFERROR(__xludf.DUMMYFUNCTION("""COMPUTED_VALUE"""),"Think")</f>
        <v>Think</v>
      </c>
      <c r="D582" s="12"/>
      <c r="E582" s="12" t="str">
        <f ca="1">IFERROR(__xludf.DUMMYFUNCTION("""COMPUTED_VALUE"""),"Book")</f>
        <v>Book</v>
      </c>
      <c r="F582" s="12" t="str">
        <f ca="1">IFERROR(__xludf.DUMMYFUNCTION("""COMPUTED_VALUE"""),"Discipleship")</f>
        <v>Discipleship</v>
      </c>
      <c r="G582" s="12"/>
      <c r="H582" s="12"/>
      <c r="I582" s="12"/>
      <c r="J582" s="12"/>
      <c r="K582" s="13">
        <f ca="1">IFERROR(__xludf.DUMMYFUNCTION("""COMPUTED_VALUE"""),40634)</f>
        <v>40634</v>
      </c>
      <c r="L582" s="12"/>
      <c r="M582" s="12"/>
      <c r="N582" s="12" t="str">
        <f ca="1">IFERROR(__xludf.DUMMYFUNCTION("""COMPUTED_VALUE"""),"Table1")</f>
        <v>Table1</v>
      </c>
    </row>
    <row r="583" spans="1:14" ht="15.75" customHeight="1" x14ac:dyDescent="0.35">
      <c r="A583" s="12" t="str">
        <f ca="1">IFERROR(__xludf.DUMMYFUNCTION("""COMPUTED_VALUE"""),"Piper, John")</f>
        <v>Piper, John</v>
      </c>
      <c r="B583" s="12" t="str">
        <f ca="1">IFERROR(__xludf.DUMMYFUNCTION("""COMPUTED_VALUE""")," John Piper")</f>
        <v xml:space="preserve"> John Piper</v>
      </c>
      <c r="C583" s="12" t="str">
        <f ca="1">IFERROR(__xludf.DUMMYFUNCTION("""COMPUTED_VALUE"""),"Think (paperback)")</f>
        <v>Think (paperback)</v>
      </c>
      <c r="D583" s="12"/>
      <c r="E583" s="12" t="str">
        <f ca="1">IFERROR(__xludf.DUMMYFUNCTION("""COMPUTED_VALUE"""),"Book")</f>
        <v>Book</v>
      </c>
      <c r="F583" s="12" t="str">
        <f ca="1">IFERROR(__xludf.DUMMYFUNCTION("""COMPUTED_VALUE"""),"Discipleship")</f>
        <v>Discipleship</v>
      </c>
      <c r="G583" s="12"/>
      <c r="H583" s="12"/>
      <c r="I583" s="12"/>
      <c r="J583" s="12"/>
      <c r="K583" s="13">
        <f ca="1">IFERROR(__xludf.DUMMYFUNCTION("""COMPUTED_VALUE"""),40909)</f>
        <v>40909</v>
      </c>
      <c r="L583" s="12" t="str">
        <f ca="1">IFERROR(__xludf.DUMMYFUNCTION("""COMPUTED_VALUE"""),"Missing as of February 2020")</f>
        <v>Missing as of February 2020</v>
      </c>
      <c r="M583" s="12"/>
      <c r="N583" s="12" t="str">
        <f ca="1">IFERROR(__xludf.DUMMYFUNCTION("""COMPUTED_VALUE"""),"Table1")</f>
        <v>Table1</v>
      </c>
    </row>
    <row r="584" spans="1:14" ht="15.75" customHeight="1" x14ac:dyDescent="0.35">
      <c r="A584" s="12" t="str">
        <f ca="1">IFERROR(__xludf.DUMMYFUNCTION("""COMPUTED_VALUE"""),"Piper, John")</f>
        <v>Piper, John</v>
      </c>
      <c r="B584" s="12" t="str">
        <f ca="1">IFERROR(__xludf.DUMMYFUNCTION("""COMPUTED_VALUE""")," John Piper")</f>
        <v xml:space="preserve"> John Piper</v>
      </c>
      <c r="C584" s="12" t="str">
        <f ca="1">IFERROR(__xludf.DUMMYFUNCTION("""COMPUTED_VALUE"""),"This Momentary Marriage")</f>
        <v>This Momentary Marriage</v>
      </c>
      <c r="D584" s="12"/>
      <c r="E584" s="12" t="str">
        <f ca="1">IFERROR(__xludf.DUMMYFUNCTION("""COMPUTED_VALUE"""),"Book")</f>
        <v>Book</v>
      </c>
      <c r="F584" s="12" t="str">
        <f ca="1">IFERROR(__xludf.DUMMYFUNCTION("""COMPUTED_VALUE"""),"Understanding Mankind")</f>
        <v>Understanding Mankind</v>
      </c>
      <c r="G584" s="12"/>
      <c r="H584" s="12"/>
      <c r="I584" s="12"/>
      <c r="J584" s="12" t="str">
        <f ca="1">IFERROR(__xludf.DUMMYFUNCTION("""COMPUTED_VALUE"""),"Marriage")</f>
        <v>Marriage</v>
      </c>
      <c r="K584" s="13">
        <f ca="1">IFERROR(__xludf.DUMMYFUNCTION("""COMPUTED_VALUE"""),41773)</f>
        <v>41773</v>
      </c>
      <c r="L584" s="12"/>
      <c r="M584" s="12"/>
      <c r="N584" s="12" t="str">
        <f ca="1">IFERROR(__xludf.DUMMYFUNCTION("""COMPUTED_VALUE"""),"Table1")</f>
        <v>Table1</v>
      </c>
    </row>
    <row r="585" spans="1:14" ht="15.75" customHeight="1" x14ac:dyDescent="0.35">
      <c r="A585" s="12" t="str">
        <f ca="1">IFERROR(__xludf.DUMMYFUNCTION("""COMPUTED_VALUE"""),"Piper, John")</f>
        <v>Piper, John</v>
      </c>
      <c r="B585" s="12" t="str">
        <f ca="1">IFERROR(__xludf.DUMMYFUNCTION("""COMPUTED_VALUE""")," John Piper")</f>
        <v xml:space="preserve"> John Piper</v>
      </c>
      <c r="C585" s="12" t="str">
        <f ca="1">IFERROR(__xludf.DUMMYFUNCTION("""COMPUTED_VALUE"""),"What Jesus Demands from the World")</f>
        <v>What Jesus Demands from the World</v>
      </c>
      <c r="D585" s="12"/>
      <c r="E585" s="12" t="str">
        <f ca="1">IFERROR(__xludf.DUMMYFUNCTION("""COMPUTED_VALUE"""),"Book")</f>
        <v>Book</v>
      </c>
      <c r="F585" s="12" t="str">
        <f ca="1">IFERROR(__xludf.DUMMYFUNCTION("""COMPUTED_VALUE"""),"Discipleship")</f>
        <v>Discipleship</v>
      </c>
      <c r="G585" s="12"/>
      <c r="H585" s="12"/>
      <c r="I585" s="12"/>
      <c r="J585" s="12"/>
      <c r="K585" s="13">
        <f ca="1">IFERROR(__xludf.DUMMYFUNCTION("""COMPUTED_VALUE"""),40042)</f>
        <v>40042</v>
      </c>
      <c r="L585" s="12"/>
      <c r="M585" s="12"/>
      <c r="N585" s="12" t="str">
        <f ca="1">IFERROR(__xludf.DUMMYFUNCTION("""COMPUTED_VALUE"""),"Table1")</f>
        <v>Table1</v>
      </c>
    </row>
    <row r="586" spans="1:14" ht="15.75" customHeight="1" x14ac:dyDescent="0.35">
      <c r="A586" s="12" t="str">
        <f ca="1">IFERROR(__xludf.DUMMYFUNCTION("""COMPUTED_VALUE"""),"Piper, John")</f>
        <v>Piper, John</v>
      </c>
      <c r="B586" s="12" t="str">
        <f ca="1">IFERROR(__xludf.DUMMYFUNCTION("""COMPUTED_VALUE""")," John Piper")</f>
        <v xml:space="preserve"> John Piper</v>
      </c>
      <c r="C586" s="12" t="str">
        <f ca="1">IFERROR(__xludf.DUMMYFUNCTION("""COMPUTED_VALUE"""),"What's the Difference?  Manhood and Womanhood . . .")</f>
        <v>What's the Difference?  Manhood and Womanhood . . .</v>
      </c>
      <c r="D586" s="12"/>
      <c r="E586" s="12" t="str">
        <f ca="1">IFERROR(__xludf.DUMMYFUNCTION("""COMPUTED_VALUE"""),"Book")</f>
        <v>Book</v>
      </c>
      <c r="F586" s="12" t="str">
        <f ca="1">IFERROR(__xludf.DUMMYFUNCTION("""COMPUTED_VALUE"""),"Understanding Mankind")</f>
        <v>Understanding Mankind</v>
      </c>
      <c r="G586" s="12"/>
      <c r="H586" s="12"/>
      <c r="I586" s="12"/>
      <c r="J586" s="12" t="str">
        <f ca="1">IFERROR(__xludf.DUMMYFUNCTION("""COMPUTED_VALUE"""),"Gender Roles")</f>
        <v>Gender Roles</v>
      </c>
      <c r="K586" s="13">
        <f ca="1">IFERROR(__xludf.DUMMYFUNCTION("""COMPUTED_VALUE"""),40043)</f>
        <v>40043</v>
      </c>
      <c r="L586" s="12"/>
      <c r="M586" s="12"/>
      <c r="N586" s="12" t="str">
        <f ca="1">IFERROR(__xludf.DUMMYFUNCTION("""COMPUTED_VALUE"""),"Table1")</f>
        <v>Table1</v>
      </c>
    </row>
    <row r="587" spans="1:14" ht="15.75" customHeight="1" x14ac:dyDescent="0.35">
      <c r="A587" s="12" t="str">
        <f ca="1">IFERROR(__xludf.DUMMYFUNCTION("""COMPUTED_VALUE"""),"Piper, John")</f>
        <v>Piper, John</v>
      </c>
      <c r="B587" s="12" t="str">
        <f ca="1">IFERROR(__xludf.DUMMYFUNCTION("""COMPUTED_VALUE""")," John Piper")</f>
        <v xml:space="preserve"> John Piper</v>
      </c>
      <c r="C587" s="12" t="str">
        <f ca="1">IFERROR(__xludf.DUMMYFUNCTION("""COMPUTED_VALUE"""),"When I Don't Desire God")</f>
        <v>When I Don't Desire God</v>
      </c>
      <c r="D587" s="12"/>
      <c r="E587" s="12" t="str">
        <f ca="1">IFERROR(__xludf.DUMMYFUNCTION("""COMPUTED_VALUE"""),"Book")</f>
        <v>Book</v>
      </c>
      <c r="F587" s="12" t="str">
        <f ca="1">IFERROR(__xludf.DUMMYFUNCTION("""COMPUTED_VALUE"""),"Understanding Mankind")</f>
        <v>Understanding Mankind</v>
      </c>
      <c r="G587" s="12"/>
      <c r="H587" s="12"/>
      <c r="I587" s="12"/>
      <c r="J587" s="12" t="str">
        <f ca="1">IFERROR(__xludf.DUMMYFUNCTION("""COMPUTED_VALUE"""),"Joy")</f>
        <v>Joy</v>
      </c>
      <c r="K587" s="13">
        <f ca="1">IFERROR(__xludf.DUMMYFUNCTION("""COMPUTED_VALUE"""),40044)</f>
        <v>40044</v>
      </c>
      <c r="L587" s="12"/>
      <c r="M587" s="12"/>
      <c r="N587" s="12" t="str">
        <f ca="1">IFERROR(__xludf.DUMMYFUNCTION("""COMPUTED_VALUE"""),"Table1")</f>
        <v>Table1</v>
      </c>
    </row>
    <row r="588" spans="1:14" ht="15.75" customHeight="1" x14ac:dyDescent="0.35">
      <c r="A588" s="12" t="str">
        <f ca="1">IFERROR(__xludf.DUMMYFUNCTION("""COMPUTED_VALUE"""),"Piper, John")</f>
        <v>Piper, John</v>
      </c>
      <c r="B588" s="12" t="str">
        <f ca="1">IFERROR(__xludf.DUMMYFUNCTION("""COMPUTED_VALUE""")," John Piper")</f>
        <v xml:space="preserve"> John Piper</v>
      </c>
      <c r="C588" s="12" t="str">
        <f ca="1">IFERROR(__xludf.DUMMYFUNCTION("""COMPUTED_VALUE"""),"When the Darkness Will Not Lift")</f>
        <v>When the Darkness Will Not Lift</v>
      </c>
      <c r="D588" s="12"/>
      <c r="E588" s="12" t="str">
        <f ca="1">IFERROR(__xludf.DUMMYFUNCTION("""COMPUTED_VALUE"""),"Book")</f>
        <v>Book</v>
      </c>
      <c r="F588" s="12" t="str">
        <f ca="1">IFERROR(__xludf.DUMMYFUNCTION("""COMPUTED_VALUE"""),"Understanding Mankind")</f>
        <v>Understanding Mankind</v>
      </c>
      <c r="G588" s="12"/>
      <c r="H588" s="12"/>
      <c r="I588" s="12"/>
      <c r="J588" s="12" t="str">
        <f ca="1">IFERROR(__xludf.DUMMYFUNCTION("""COMPUTED_VALUE"""),"Suffering, Depression")</f>
        <v>Suffering, Depression</v>
      </c>
      <c r="K588" s="13">
        <f ca="1">IFERROR(__xludf.DUMMYFUNCTION("""COMPUTED_VALUE"""),40045)</f>
        <v>40045</v>
      </c>
      <c r="L588" s="12"/>
      <c r="M588" s="12"/>
      <c r="N588" s="12" t="str">
        <f ca="1">IFERROR(__xludf.DUMMYFUNCTION("""COMPUTED_VALUE"""),"Table1")</f>
        <v>Table1</v>
      </c>
    </row>
    <row r="589" spans="1:14" ht="15.75" customHeight="1" x14ac:dyDescent="0.35">
      <c r="A589" s="12" t="str">
        <f ca="1">IFERROR(__xludf.DUMMYFUNCTION("""COMPUTED_VALUE"""),"Piper, Noël")</f>
        <v>Piper, Noël</v>
      </c>
      <c r="B589" s="12" t="str">
        <f ca="1">IFERROR(__xludf.DUMMYFUNCTION("""COMPUTED_VALUE""")," Noël Piper")</f>
        <v xml:space="preserve"> Noël Piper</v>
      </c>
      <c r="C589" s="12" t="str">
        <f ca="1">IFERROR(__xludf.DUMMYFUNCTION("""COMPUTED_VALUE"""),"Faithful Women &amp; Their Extraordinary God")</f>
        <v>Faithful Women &amp; Their Extraordinary God</v>
      </c>
      <c r="D589" s="12"/>
      <c r="E589" s="12" t="str">
        <f ca="1">IFERROR(__xludf.DUMMYFUNCTION("""COMPUTED_VALUE"""),"Book")</f>
        <v>Book</v>
      </c>
      <c r="F589" s="12" t="str">
        <f ca="1">IFERROR(__xludf.DUMMYFUNCTION("""COMPUTED_VALUE"""),"Biography")</f>
        <v>Biography</v>
      </c>
      <c r="G589" s="12"/>
      <c r="H589" s="12"/>
      <c r="I589" s="12"/>
      <c r="J589" s="12" t="str">
        <f ca="1">IFERROR(__xludf.DUMMYFUNCTION("""COMPUTED_VALUE"""),"Christian Women")</f>
        <v>Christian Women</v>
      </c>
      <c r="K589" s="13">
        <f ca="1">IFERROR(__xludf.DUMMYFUNCTION("""COMPUTED_VALUE"""),40046)</f>
        <v>40046</v>
      </c>
      <c r="L589" s="12"/>
      <c r="M589" s="12"/>
      <c r="N589" s="12" t="str">
        <f ca="1">IFERROR(__xludf.DUMMYFUNCTION("""COMPUTED_VALUE"""),"Table1")</f>
        <v>Table1</v>
      </c>
    </row>
    <row r="590" spans="1:14" ht="15.75" customHeight="1" x14ac:dyDescent="0.35">
      <c r="A590" s="12" t="str">
        <f ca="1">IFERROR(__xludf.DUMMYFUNCTION("""COMPUTED_VALUE"""),"Pippert, Rebecca Manley")</f>
        <v>Pippert, Rebecca Manley</v>
      </c>
      <c r="B590" s="12" t="str">
        <f ca="1">IFERROR(__xludf.DUMMYFUNCTION("""COMPUTED_VALUE""")," Rebecca Manley Pippert")</f>
        <v xml:space="preserve"> Rebecca Manley Pippert</v>
      </c>
      <c r="C590" s="12" t="str">
        <f ca="1">IFERROR(__xludf.DUMMYFUNCTION("""COMPUTED_VALUE"""),"Stay Salt: The World Has Changed, Our Message Must Not")</f>
        <v>Stay Salt: The World Has Changed, Our Message Must Not</v>
      </c>
      <c r="D590" s="12"/>
      <c r="E590" s="12" t="str">
        <f ca="1">IFERROR(__xludf.DUMMYFUNCTION("""COMPUTED_VALUE"""),"Book")</f>
        <v>Book</v>
      </c>
      <c r="F590" s="12" t="str">
        <f ca="1">IFERROR(__xludf.DUMMYFUNCTION("""COMPUTED_VALUE"""),"Discipleship")</f>
        <v>Discipleship</v>
      </c>
      <c r="G590" s="12"/>
      <c r="H590" s="12"/>
      <c r="I590" s="12"/>
      <c r="J590" s="12"/>
      <c r="K590" s="13">
        <f ca="1">IFERROR(__xludf.DUMMYFUNCTION("""COMPUTED_VALUE"""),44044)</f>
        <v>44044</v>
      </c>
      <c r="L590" s="12"/>
      <c r="M590" s="12"/>
      <c r="N590" s="12" t="str">
        <f ca="1">IFERROR(__xludf.DUMMYFUNCTION("""COMPUTED_VALUE"""),"Table1")</f>
        <v>Table1</v>
      </c>
    </row>
    <row r="591" spans="1:14" ht="15.75" customHeight="1" x14ac:dyDescent="0.35">
      <c r="A591" s="12" t="str">
        <f ca="1">IFERROR(__xludf.DUMMYFUNCTION("""COMPUTED_VALUE"""),"Plant, Robert")</f>
        <v>Plant, Robert</v>
      </c>
      <c r="B591" s="12" t="str">
        <f ca="1">IFERROR(__xludf.DUMMYFUNCTION("""COMPUTED_VALUE""")," Robert Plant")</f>
        <v xml:space="preserve"> Robert Plant</v>
      </c>
      <c r="C591" s="12" t="str">
        <f ca="1">IFERROR(__xludf.DUMMYFUNCTION("""COMPUTED_VALUE"""),"Titanic: The Ship of Dreams/John Harper")</f>
        <v>Titanic: The Ship of Dreams/John Harper</v>
      </c>
      <c r="D591" s="12" t="str">
        <f ca="1">IFERROR(__xludf.DUMMYFUNCTION("""COMPUTED_VALUE"""),"Torch Bearers")</f>
        <v>Torch Bearers</v>
      </c>
      <c r="E591" s="12" t="str">
        <f ca="1">IFERROR(__xludf.DUMMYFUNCTION("""COMPUTED_VALUE"""),"Book")</f>
        <v>Book</v>
      </c>
      <c r="F591" s="12" t="str">
        <f ca="1">IFERROR(__xludf.DUMMYFUNCTION("""COMPUTED_VALUE"""),"Children")</f>
        <v>Children</v>
      </c>
      <c r="G591" s="12"/>
      <c r="H591" s="12"/>
      <c r="I591" s="12"/>
      <c r="J591" s="12"/>
      <c r="K591" s="13">
        <f ca="1">IFERROR(__xludf.DUMMYFUNCTION("""COMPUTED_VALUE"""),41804)</f>
        <v>41804</v>
      </c>
      <c r="L591" s="12"/>
      <c r="M591" s="12"/>
      <c r="N591" s="12" t="str">
        <f ca="1">IFERROR(__xludf.DUMMYFUNCTION("""COMPUTED_VALUE"""),"Table1")</f>
        <v>Table1</v>
      </c>
    </row>
    <row r="592" spans="1:14" ht="15.75" customHeight="1" x14ac:dyDescent="0.35">
      <c r="A592" s="12" t="str">
        <f ca="1">IFERROR(__xludf.DUMMYFUNCTION("""COMPUTED_VALUE"""),"Plowman, Ginger")</f>
        <v>Plowman, Ginger</v>
      </c>
      <c r="B592" s="12" t="str">
        <f ca="1">IFERROR(__xludf.DUMMYFUNCTION("""COMPUTED_VALUE""")," Ginger Plowman")</f>
        <v xml:space="preserve"> Ginger Plowman</v>
      </c>
      <c r="C592" s="12" t="str">
        <f ca="1">IFERROR(__xludf.DUMMYFUNCTION("""COMPUTED_VALUE"""),"Don't Make Me Count to Three!")</f>
        <v>Don't Make Me Count to Three!</v>
      </c>
      <c r="D592" s="12"/>
      <c r="E592" s="12" t="str">
        <f ca="1">IFERROR(__xludf.DUMMYFUNCTION("""COMPUTED_VALUE"""),"Book")</f>
        <v>Book</v>
      </c>
      <c r="F592" s="12" t="str">
        <f ca="1">IFERROR(__xludf.DUMMYFUNCTION("""COMPUTED_VALUE"""),"Understanding Mankind")</f>
        <v>Understanding Mankind</v>
      </c>
      <c r="G592" s="12"/>
      <c r="H592" s="12"/>
      <c r="I592" s="12" t="str">
        <f ca="1">IFERROR(__xludf.DUMMYFUNCTION("""COMPUTED_VALUE"""),"Parenting")</f>
        <v>Parenting</v>
      </c>
      <c r="J592" s="12"/>
      <c r="K592" s="13">
        <f ca="1">IFERROR(__xludf.DUMMYFUNCTION("""COMPUTED_VALUE"""),40047)</f>
        <v>40047</v>
      </c>
      <c r="L592" s="12"/>
      <c r="M592" s="12"/>
      <c r="N592" s="12" t="str">
        <f ca="1">IFERROR(__xludf.DUMMYFUNCTION("""COMPUTED_VALUE"""),"Table1")</f>
        <v>Table1</v>
      </c>
    </row>
    <row r="593" spans="1:14" ht="15.75" customHeight="1" x14ac:dyDescent="0.35">
      <c r="A593" s="12" t="str">
        <f ca="1">IFERROR(__xludf.DUMMYFUNCTION("""COMPUTED_VALUE"""),"Postman, Neil")</f>
        <v>Postman, Neil</v>
      </c>
      <c r="B593" s="12" t="str">
        <f ca="1">IFERROR(__xludf.DUMMYFUNCTION("""COMPUTED_VALUE""")," Neil Postman")</f>
        <v xml:space="preserve"> Neil Postman</v>
      </c>
      <c r="C593" s="12" t="str">
        <f ca="1">IFERROR(__xludf.DUMMYFUNCTION("""COMPUTED_VALUE"""),"Amusing Ourselves to Death")</f>
        <v>Amusing Ourselves to Death</v>
      </c>
      <c r="D593" s="12"/>
      <c r="E593" s="12" t="str">
        <f ca="1">IFERROR(__xludf.DUMMYFUNCTION("""COMPUTED_VALUE"""),"Book")</f>
        <v>Book</v>
      </c>
      <c r="F593" s="12" t="str">
        <f ca="1">IFERROR(__xludf.DUMMYFUNCTION("""COMPUTED_VALUE"""),"Worldview")</f>
        <v>Worldview</v>
      </c>
      <c r="G593" s="12"/>
      <c r="H593" s="12"/>
      <c r="I593" s="12"/>
      <c r="J593" s="12" t="str">
        <f ca="1">IFERROR(__xludf.DUMMYFUNCTION("""COMPUTED_VALUE"""),"Entertainment")</f>
        <v>Entertainment</v>
      </c>
      <c r="K593" s="13">
        <f ca="1">IFERROR(__xludf.DUMMYFUNCTION("""COMPUTED_VALUE"""),40048)</f>
        <v>40048</v>
      </c>
      <c r="L593" s="12"/>
      <c r="M593" s="12"/>
      <c r="N593" s="12" t="str">
        <f ca="1">IFERROR(__xludf.DUMMYFUNCTION("""COMPUTED_VALUE"""),"Table1")</f>
        <v>Table1</v>
      </c>
    </row>
    <row r="594" spans="1:14" ht="15.75" customHeight="1" x14ac:dyDescent="0.35">
      <c r="A594" s="12" t="str">
        <f ca="1">IFERROR(__xludf.DUMMYFUNCTION("""COMPUTED_VALUE"""),"Powlison, David")</f>
        <v>Powlison, David</v>
      </c>
      <c r="B594" s="12" t="str">
        <f ca="1">IFERROR(__xludf.DUMMYFUNCTION("""COMPUTED_VALUE""")," David Powlison")</f>
        <v xml:space="preserve"> David Powlison</v>
      </c>
      <c r="C594" s="12" t="str">
        <f ca="1">IFERROR(__xludf.DUMMYFUNCTION("""COMPUTED_VALUE"""),"The Biblical Counseling Movement")</f>
        <v>The Biblical Counseling Movement</v>
      </c>
      <c r="D594" s="12"/>
      <c r="E594" s="12" t="str">
        <f ca="1">IFERROR(__xludf.DUMMYFUNCTION("""COMPUTED_VALUE"""),"Book")</f>
        <v>Book</v>
      </c>
      <c r="F594" s="12" t="str">
        <f ca="1">IFERROR(__xludf.DUMMYFUNCTION("""COMPUTED_VALUE"""),"Understanding Mankind")</f>
        <v>Understanding Mankind</v>
      </c>
      <c r="G594" s="12"/>
      <c r="H594" s="12"/>
      <c r="I594" s="12"/>
      <c r="J594" s="12" t="str">
        <f ca="1">IFERROR(__xludf.DUMMYFUNCTION("""COMPUTED_VALUE"""),"Counseling")</f>
        <v>Counseling</v>
      </c>
      <c r="K594" s="13">
        <f ca="1">IFERROR(__xludf.DUMMYFUNCTION("""COMPUTED_VALUE"""),41773)</f>
        <v>41773</v>
      </c>
      <c r="L594" s="12"/>
      <c r="M594" s="12"/>
      <c r="N594" s="12" t="str">
        <f ca="1">IFERROR(__xludf.DUMMYFUNCTION("""COMPUTED_VALUE"""),"Table1")</f>
        <v>Table1</v>
      </c>
    </row>
    <row r="595" spans="1:14" ht="15.75" customHeight="1" x14ac:dyDescent="0.35">
      <c r="A595" s="12" t="str">
        <f ca="1">IFERROR(__xludf.DUMMYFUNCTION("""COMPUTED_VALUE"""),"Powlison, David")</f>
        <v>Powlison, David</v>
      </c>
      <c r="B595" s="12" t="str">
        <f ca="1">IFERROR(__xludf.DUMMYFUNCTION("""COMPUTED_VALUE""")," David Powlison")</f>
        <v xml:space="preserve"> David Powlison</v>
      </c>
      <c r="C595" s="12" t="str">
        <f ca="1">IFERROR(__xludf.DUMMYFUNCTION("""COMPUTED_VALUE"""),"God's Grace in Your Suffering")</f>
        <v>God's Grace in Your Suffering</v>
      </c>
      <c r="D595" s="12"/>
      <c r="E595" s="12" t="str">
        <f ca="1">IFERROR(__xludf.DUMMYFUNCTION("""COMPUTED_VALUE"""),"Book")</f>
        <v>Book</v>
      </c>
      <c r="F595" s="12" t="str">
        <f ca="1">IFERROR(__xludf.DUMMYFUNCTION("""COMPUTED_VALUE"""),"Understanding Mankind")</f>
        <v>Understanding Mankind</v>
      </c>
      <c r="G595" s="12"/>
      <c r="H595" s="12"/>
      <c r="I595" s="12"/>
      <c r="J595" s="12" t="str">
        <f ca="1">IFERROR(__xludf.DUMMYFUNCTION("""COMPUTED_VALUE"""),"Suffering")</f>
        <v>Suffering</v>
      </c>
      <c r="K595" s="13"/>
      <c r="L595" s="12"/>
      <c r="M595" s="12"/>
      <c r="N595" s="12" t="str">
        <f ca="1">IFERROR(__xludf.DUMMYFUNCTION("""COMPUTED_VALUE"""),"Table1")</f>
        <v>Table1</v>
      </c>
    </row>
    <row r="596" spans="1:14" ht="15.75" customHeight="1" x14ac:dyDescent="0.35">
      <c r="A596" s="12" t="str">
        <f ca="1">IFERROR(__xludf.DUMMYFUNCTION("""COMPUTED_VALUE"""),"Powlison, David")</f>
        <v>Powlison, David</v>
      </c>
      <c r="B596" s="12" t="str">
        <f ca="1">IFERROR(__xludf.DUMMYFUNCTION("""COMPUTED_VALUE""")," David Powlison")</f>
        <v xml:space="preserve"> David Powlison</v>
      </c>
      <c r="C596" s="12" t="str">
        <f ca="1">IFERROR(__xludf.DUMMYFUNCTION("""COMPUTED_VALUE"""),"Good &amp; Angry: Redeeming Anger, Irritation, Complaining, and Bitterness")</f>
        <v>Good &amp; Angry: Redeeming Anger, Irritation, Complaining, and Bitterness</v>
      </c>
      <c r="D596" s="12"/>
      <c r="E596" s="12" t="str">
        <f ca="1">IFERROR(__xludf.DUMMYFUNCTION("""COMPUTED_VALUE"""),"Book")</f>
        <v>Book</v>
      </c>
      <c r="F596" s="12" t="str">
        <f ca="1">IFERROR(__xludf.DUMMYFUNCTION("""COMPUTED_VALUE"""),"Understanding Mankind")</f>
        <v>Understanding Mankind</v>
      </c>
      <c r="G596" s="12"/>
      <c r="H596" s="12"/>
      <c r="I596" s="12"/>
      <c r="J596" s="12" t="str">
        <f ca="1">IFERROR(__xludf.DUMMYFUNCTION("""COMPUTED_VALUE"""),"Anger")</f>
        <v>Anger</v>
      </c>
      <c r="K596" s="13">
        <f ca="1">IFERROR(__xludf.DUMMYFUNCTION("""COMPUTED_VALUE"""),42677)</f>
        <v>42677</v>
      </c>
      <c r="L596" s="12"/>
      <c r="M596" s="12"/>
      <c r="N596" s="12" t="str">
        <f ca="1">IFERROR(__xludf.DUMMYFUNCTION("""COMPUTED_VALUE"""),"Table1")</f>
        <v>Table1</v>
      </c>
    </row>
    <row r="597" spans="1:14" ht="15.75" customHeight="1" x14ac:dyDescent="0.35">
      <c r="A597" s="12" t="str">
        <f ca="1">IFERROR(__xludf.DUMMYFUNCTION("""COMPUTED_VALUE"""),"Powlison, David")</f>
        <v>Powlison, David</v>
      </c>
      <c r="B597" s="12" t="str">
        <f ca="1">IFERROR(__xludf.DUMMYFUNCTION("""COMPUTED_VALUE""")," David Powlison")</f>
        <v xml:space="preserve"> David Powlison</v>
      </c>
      <c r="C597" s="12" t="str">
        <f ca="1">IFERROR(__xludf.DUMMYFUNCTION("""COMPUTED_VALUE"""),"Gus Loses His Grip")</f>
        <v>Gus Loses His Grip</v>
      </c>
      <c r="D597" s="12" t="str">
        <f ca="1">IFERROR(__xludf.DUMMYFUNCTION("""COMPUTED_VALUE"""),"Good News for Little Hearts")</f>
        <v>Good News for Little Hearts</v>
      </c>
      <c r="E597" s="12" t="str">
        <f ca="1">IFERROR(__xludf.DUMMYFUNCTION("""COMPUTED_VALUE"""),"Book")</f>
        <v>Book</v>
      </c>
      <c r="F597" s="12" t="str">
        <f ca="1">IFERROR(__xludf.DUMMYFUNCTION("""COMPUTED_VALUE"""),"Children")</f>
        <v>Children</v>
      </c>
      <c r="G597" s="12"/>
      <c r="H597" s="12"/>
      <c r="I597" s="12"/>
      <c r="J597" s="12"/>
      <c r="K597" s="13">
        <f ca="1">IFERROR(__xludf.DUMMYFUNCTION("""COMPUTED_VALUE"""),43831)</f>
        <v>43831</v>
      </c>
      <c r="L597" s="12"/>
      <c r="M597" s="12"/>
      <c r="N597" s="12" t="str">
        <f ca="1">IFERROR(__xludf.DUMMYFUNCTION("""COMPUTED_VALUE"""),"Table1")</f>
        <v>Table1</v>
      </c>
    </row>
    <row r="598" spans="1:14" ht="15.75" customHeight="1" x14ac:dyDescent="0.35">
      <c r="A598" s="12" t="str">
        <f ca="1">IFERROR(__xludf.DUMMYFUNCTION("""COMPUTED_VALUE"""),"Powlison, David")</f>
        <v>Powlison, David</v>
      </c>
      <c r="B598" s="12" t="str">
        <f ca="1">IFERROR(__xludf.DUMMYFUNCTION("""COMPUTED_VALUE""")," David Powlison")</f>
        <v xml:space="preserve"> David Powlison</v>
      </c>
      <c r="C598" s="12" t="str">
        <f ca="1">IFERROR(__xludf.DUMMYFUNCTION("""COMPUTED_VALUE"""),"How Does Sanctification Work?")</f>
        <v>How Does Sanctification Work?</v>
      </c>
      <c r="D598" s="12"/>
      <c r="E598" s="12" t="str">
        <f ca="1">IFERROR(__xludf.DUMMYFUNCTION("""COMPUTED_VALUE"""),"Book")</f>
        <v>Book</v>
      </c>
      <c r="F598" s="12" t="str">
        <f ca="1">IFERROR(__xludf.DUMMYFUNCTION("""COMPUTED_VALUE"""),"Discipleship")</f>
        <v>Discipleship</v>
      </c>
      <c r="G598" s="12"/>
      <c r="H598" s="12"/>
      <c r="I598" s="12"/>
      <c r="J598" s="12"/>
      <c r="K598" s="13">
        <f ca="1">IFERROR(__xludf.DUMMYFUNCTION("""COMPUTED_VALUE"""),42884)</f>
        <v>42884</v>
      </c>
      <c r="L598" s="12"/>
      <c r="M598" s="12"/>
      <c r="N598" s="12" t="str">
        <f ca="1">IFERROR(__xludf.DUMMYFUNCTION("""COMPUTED_VALUE"""),"Table1")</f>
        <v>Table1</v>
      </c>
    </row>
    <row r="599" spans="1:14" ht="15.75" customHeight="1" x14ac:dyDescent="0.35">
      <c r="A599" s="12" t="str">
        <f ca="1">IFERROR(__xludf.DUMMYFUNCTION("""COMPUTED_VALUE"""),"Powlison, David")</f>
        <v>Powlison, David</v>
      </c>
      <c r="B599" s="12" t="str">
        <f ca="1">IFERROR(__xludf.DUMMYFUNCTION("""COMPUTED_VALUE""")," David Powlison")</f>
        <v xml:space="preserve"> David Powlison</v>
      </c>
      <c r="C599" s="12" t="str">
        <f ca="1">IFERROR(__xludf.DUMMYFUNCTION("""COMPUTED_VALUE"""),"Jax's Tail Twitches")</f>
        <v>Jax's Tail Twitches</v>
      </c>
      <c r="D599" s="12"/>
      <c r="E599" s="12" t="str">
        <f ca="1">IFERROR(__xludf.DUMMYFUNCTION("""COMPUTED_VALUE"""),"Book")</f>
        <v>Book</v>
      </c>
      <c r="F599" s="12" t="str">
        <f ca="1">IFERROR(__xludf.DUMMYFUNCTION("""COMPUTED_VALUE"""),"Children")</f>
        <v>Children</v>
      </c>
      <c r="G599" s="12"/>
      <c r="H599" s="12"/>
      <c r="I599" s="12"/>
      <c r="J599" s="12"/>
      <c r="K599" s="13"/>
      <c r="L599" s="12"/>
      <c r="M599" s="12"/>
      <c r="N599" s="12" t="str">
        <f ca="1">IFERROR(__xludf.DUMMYFUNCTION("""COMPUTED_VALUE"""),"Table1")</f>
        <v>Table1</v>
      </c>
    </row>
    <row r="600" spans="1:14" ht="15.75" customHeight="1" x14ac:dyDescent="0.35">
      <c r="A600" s="12" t="str">
        <f ca="1">IFERROR(__xludf.DUMMYFUNCTION("""COMPUTED_VALUE"""),"Powlison, David")</f>
        <v>Powlison, David</v>
      </c>
      <c r="B600" s="12" t="str">
        <f ca="1">IFERROR(__xludf.DUMMYFUNCTION("""COMPUTED_VALUE""")," David Powlison")</f>
        <v xml:space="preserve"> David Powlison</v>
      </c>
      <c r="C600" s="12" t="str">
        <f ca="1">IFERROR(__xludf.DUMMYFUNCTION("""COMPUTED_VALUE"""),"Making All Things New Restoring: Joy to the Sexually Broken")</f>
        <v>Making All Things New Restoring: Joy to the Sexually Broken</v>
      </c>
      <c r="D600" s="12"/>
      <c r="E600" s="12" t="str">
        <f ca="1">IFERROR(__xludf.DUMMYFUNCTION("""COMPUTED_VALUE"""),"Book")</f>
        <v>Book</v>
      </c>
      <c r="F600" s="12" t="str">
        <f ca="1">IFERROR(__xludf.DUMMYFUNCTION("""COMPUTED_VALUE"""),"Understanding Mankind")</f>
        <v>Understanding Mankind</v>
      </c>
      <c r="G600" s="12"/>
      <c r="H600" s="12"/>
      <c r="I600" s="12"/>
      <c r="J600" s="12" t="str">
        <f ca="1">IFERROR(__xludf.DUMMYFUNCTION("""COMPUTED_VALUE"""),"Sexuality")</f>
        <v>Sexuality</v>
      </c>
      <c r="K600" s="13">
        <f ca="1">IFERROR(__xludf.DUMMYFUNCTION("""COMPUTED_VALUE"""),43160)</f>
        <v>43160</v>
      </c>
      <c r="L600" s="12"/>
      <c r="M600" s="12"/>
      <c r="N600" s="12" t="str">
        <f ca="1">IFERROR(__xludf.DUMMYFUNCTION("""COMPUTED_VALUE"""),"Table1")</f>
        <v>Table1</v>
      </c>
    </row>
    <row r="601" spans="1:14" ht="15.75" customHeight="1" x14ac:dyDescent="0.35">
      <c r="A601" s="12" t="str">
        <f ca="1">IFERROR(__xludf.DUMMYFUNCTION("""COMPUTED_VALUE"""),"Powlison, David")</f>
        <v>Powlison, David</v>
      </c>
      <c r="B601" s="12" t="str">
        <f ca="1">IFERROR(__xludf.DUMMYFUNCTION("""COMPUTED_VALUE""")," David Powlison")</f>
        <v xml:space="preserve"> David Powlison</v>
      </c>
      <c r="C601" s="12" t="str">
        <f ca="1">IFERROR(__xludf.DUMMYFUNCTION("""COMPUTED_VALUE"""),"On Redeeming Psychology")</f>
        <v>On Redeeming Psychology</v>
      </c>
      <c r="D601" s="12" t="str">
        <f ca="1">IFERROR(__xludf.DUMMYFUNCTION("""COMPUTED_VALUE"""),"JBC Must Reads")</f>
        <v>JBC Must Reads</v>
      </c>
      <c r="E601" s="12" t="str">
        <f ca="1">IFERROR(__xludf.DUMMYFUNCTION("""COMPUTED_VALUE"""),"Book")</f>
        <v>Book</v>
      </c>
      <c r="F601" s="12" t="str">
        <f ca="1">IFERROR(__xludf.DUMMYFUNCTION("""COMPUTED_VALUE"""),"Understanding Mankind")</f>
        <v>Understanding Mankind</v>
      </c>
      <c r="G601" s="12"/>
      <c r="H601" s="12"/>
      <c r="I601" s="12"/>
      <c r="J601" s="12" t="str">
        <f ca="1">IFERROR(__xludf.DUMMYFUNCTION("""COMPUTED_VALUE"""),"Counseling")</f>
        <v>Counseling</v>
      </c>
      <c r="K601" s="13">
        <f ca="1">IFERROR(__xludf.DUMMYFUNCTION("""COMPUTED_VALUE"""),41775)</f>
        <v>41775</v>
      </c>
      <c r="L601" s="12"/>
      <c r="M601" s="12"/>
      <c r="N601" s="12" t="str">
        <f ca="1">IFERROR(__xludf.DUMMYFUNCTION("""COMPUTED_VALUE"""),"Table1")</f>
        <v>Table1</v>
      </c>
    </row>
    <row r="602" spans="1:14" ht="15.75" customHeight="1" x14ac:dyDescent="0.35">
      <c r="A602" s="12" t="str">
        <f ca="1">IFERROR(__xludf.DUMMYFUNCTION("""COMPUTED_VALUE"""),"Powlison, David")</f>
        <v>Powlison, David</v>
      </c>
      <c r="B602" s="12" t="str">
        <f ca="1">IFERROR(__xludf.DUMMYFUNCTION("""COMPUTED_VALUE""")," David Powlison")</f>
        <v xml:space="preserve"> David Powlison</v>
      </c>
      <c r="C602" s="12" t="str">
        <f ca="1">IFERROR(__xludf.DUMMYFUNCTION("""COMPUTED_VALUE"""),"On Suffering")</f>
        <v>On Suffering</v>
      </c>
      <c r="D602" s="12" t="str">
        <f ca="1">IFERROR(__xludf.DUMMYFUNCTION("""COMPUTED_VALUE"""),"JBC Must Reads")</f>
        <v>JBC Must Reads</v>
      </c>
      <c r="E602" s="12" t="str">
        <f ca="1">IFERROR(__xludf.DUMMYFUNCTION("""COMPUTED_VALUE"""),"Book")</f>
        <v>Book</v>
      </c>
      <c r="F602" s="12" t="str">
        <f ca="1">IFERROR(__xludf.DUMMYFUNCTION("""COMPUTED_VALUE"""),"Understanding Mankind")</f>
        <v>Understanding Mankind</v>
      </c>
      <c r="G602" s="12"/>
      <c r="H602" s="12"/>
      <c r="I602" s="12"/>
      <c r="J602" s="12" t="str">
        <f ca="1">IFERROR(__xludf.DUMMYFUNCTION("""COMPUTED_VALUE"""),"Suffering")</f>
        <v>Suffering</v>
      </c>
      <c r="K602" s="13">
        <f ca="1">IFERROR(__xludf.DUMMYFUNCTION("""COMPUTED_VALUE"""),41777)</f>
        <v>41777</v>
      </c>
      <c r="L602" s="12"/>
      <c r="M602" s="12"/>
      <c r="N602" s="12" t="str">
        <f ca="1">IFERROR(__xludf.DUMMYFUNCTION("""COMPUTED_VALUE"""),"Table1")</f>
        <v>Table1</v>
      </c>
    </row>
    <row r="603" spans="1:14" ht="15.75" customHeight="1" x14ac:dyDescent="0.35">
      <c r="A603" s="12" t="str">
        <f ca="1">IFERROR(__xludf.DUMMYFUNCTION("""COMPUTED_VALUE"""),"Powlison, David")</f>
        <v>Powlison, David</v>
      </c>
      <c r="B603" s="12" t="str">
        <f ca="1">IFERROR(__xludf.DUMMYFUNCTION("""COMPUTED_VALUE""")," David Powlison")</f>
        <v xml:space="preserve"> David Powlison</v>
      </c>
      <c r="C603" s="12" t="str">
        <f ca="1">IFERROR(__xludf.DUMMYFUNCTION("""COMPUTED_VALUE"""),"Seeing with New Eyes: Counseling and the Human Condition Through the Lens of Scripture")</f>
        <v>Seeing with New Eyes: Counseling and the Human Condition Through the Lens of Scripture</v>
      </c>
      <c r="D603" s="12"/>
      <c r="E603" s="12" t="str">
        <f ca="1">IFERROR(__xludf.DUMMYFUNCTION("""COMPUTED_VALUE"""),"Book")</f>
        <v>Book</v>
      </c>
      <c r="F603" s="12" t="str">
        <f ca="1">IFERROR(__xludf.DUMMYFUNCTION("""COMPUTED_VALUE"""),"Understanding Mankind")</f>
        <v>Understanding Mankind</v>
      </c>
      <c r="G603" s="12"/>
      <c r="H603" s="12"/>
      <c r="I603" s="12"/>
      <c r="J603" s="12" t="str">
        <f ca="1">IFERROR(__xludf.DUMMYFUNCTION("""COMPUTED_VALUE"""),"Counseling")</f>
        <v>Counseling</v>
      </c>
      <c r="K603" s="13">
        <f ca="1">IFERROR(__xludf.DUMMYFUNCTION("""COMPUTED_VALUE"""),40049)</f>
        <v>40049</v>
      </c>
      <c r="L603" s="12"/>
      <c r="M603" s="12"/>
      <c r="N603" s="12" t="str">
        <f ca="1">IFERROR(__xludf.DUMMYFUNCTION("""COMPUTED_VALUE"""),"Table1")</f>
        <v>Table1</v>
      </c>
    </row>
    <row r="604" spans="1:14" ht="15.75" customHeight="1" x14ac:dyDescent="0.35">
      <c r="A604" s="12" t="str">
        <f ca="1">IFERROR(__xludf.DUMMYFUNCTION("""COMPUTED_VALUE"""),"Powlison, David")</f>
        <v>Powlison, David</v>
      </c>
      <c r="B604" s="12" t="str">
        <f ca="1">IFERROR(__xludf.DUMMYFUNCTION("""COMPUTED_VALUE""")," David Powlison")</f>
        <v xml:space="preserve"> David Powlison</v>
      </c>
      <c r="C604" s="12" t="str">
        <f ca="1">IFERROR(__xludf.DUMMYFUNCTION("""COMPUTED_VALUE"""),"Speaking the Truth in Love")</f>
        <v>Speaking the Truth in Love</v>
      </c>
      <c r="D604" s="12"/>
      <c r="E604" s="12" t="str">
        <f ca="1">IFERROR(__xludf.DUMMYFUNCTION("""COMPUTED_VALUE"""),"Book")</f>
        <v>Book</v>
      </c>
      <c r="F604" s="12" t="str">
        <f ca="1">IFERROR(__xludf.DUMMYFUNCTION("""COMPUTED_VALUE"""),"Understanding Mankind")</f>
        <v>Understanding Mankind</v>
      </c>
      <c r="G604" s="12"/>
      <c r="H604" s="12"/>
      <c r="I604" s="12"/>
      <c r="J604" s="12" t="str">
        <f ca="1">IFERROR(__xludf.DUMMYFUNCTION("""COMPUTED_VALUE"""),"Counseling, Relationships")</f>
        <v>Counseling, Relationships</v>
      </c>
      <c r="K604" s="13">
        <f ca="1">IFERROR(__xludf.DUMMYFUNCTION("""COMPUTED_VALUE"""),39209)</f>
        <v>39209</v>
      </c>
      <c r="L604" s="12"/>
      <c r="M604" s="12"/>
      <c r="N604" s="12" t="str">
        <f ca="1">IFERROR(__xludf.DUMMYFUNCTION("""COMPUTED_VALUE"""),"Table1")</f>
        <v>Table1</v>
      </c>
    </row>
    <row r="605" spans="1:14" ht="15.75" customHeight="1" x14ac:dyDescent="0.35">
      <c r="A605" s="12" t="str">
        <f ca="1">IFERROR(__xludf.DUMMYFUNCTION("""COMPUTED_VALUE"""),"Powlison, David")</f>
        <v>Powlison, David</v>
      </c>
      <c r="B605" s="12" t="str">
        <f ca="1">IFERROR(__xludf.DUMMYFUNCTION("""COMPUTED_VALUE""")," David Powlison")</f>
        <v xml:space="preserve"> David Powlison</v>
      </c>
      <c r="C605" s="12" t="str">
        <f ca="1">IFERROR(__xludf.DUMMYFUNCTION("""COMPUTED_VALUE"""),"Zoe's Hiding Place")</f>
        <v>Zoe's Hiding Place</v>
      </c>
      <c r="D605" s="12"/>
      <c r="E605" s="12" t="str">
        <f ca="1">IFERROR(__xludf.DUMMYFUNCTION("""COMPUTED_VALUE"""),"Book")</f>
        <v>Book</v>
      </c>
      <c r="F605" s="12" t="str">
        <f ca="1">IFERROR(__xludf.DUMMYFUNCTION("""COMPUTED_VALUE"""),"Children")</f>
        <v>Children</v>
      </c>
      <c r="G605" s="12"/>
      <c r="H605" s="12"/>
      <c r="I605" s="12"/>
      <c r="J605" s="12"/>
      <c r="K605" s="13"/>
      <c r="L605" s="12"/>
      <c r="M605" s="12"/>
      <c r="N605" s="12" t="str">
        <f ca="1">IFERROR(__xludf.DUMMYFUNCTION("""COMPUTED_VALUE"""),"Table1")</f>
        <v>Table1</v>
      </c>
    </row>
    <row r="606" spans="1:14" ht="15.75" customHeight="1" x14ac:dyDescent="0.35">
      <c r="A606" s="12" t="str">
        <f ca="1">IFERROR(__xludf.DUMMYFUNCTION("""COMPUTED_VALUE"""),"Powlison, David and Nan (editors)")</f>
        <v>Powlison, David and Nan (editors)</v>
      </c>
      <c r="B606" s="12" t="str">
        <f ca="1">IFERROR(__xludf.DUMMYFUNCTION("""COMPUTED_VALUE"""),"#N/A")</f>
        <v>#N/A</v>
      </c>
      <c r="C606" s="12" t="str">
        <f ca="1">IFERROR(__xludf.DUMMYFUNCTION("""COMPUTED_VALUE"""),"Buster Tries to Bail: When You Are Stressed")</f>
        <v>Buster Tries to Bail: When You Are Stressed</v>
      </c>
      <c r="D606" s="12" t="str">
        <f ca="1">IFERROR(__xludf.DUMMYFUNCTION("""COMPUTED_VALUE"""),"Good News for Little Hearts")</f>
        <v>Good News for Little Hearts</v>
      </c>
      <c r="E606" s="12" t="str">
        <f ca="1">IFERROR(__xludf.DUMMYFUNCTION("""COMPUTED_VALUE"""),"Book")</f>
        <v>Book</v>
      </c>
      <c r="F606" s="12" t="str">
        <f ca="1">IFERROR(__xludf.DUMMYFUNCTION("""COMPUTED_VALUE"""),"Children")</f>
        <v>Children</v>
      </c>
      <c r="G606" s="12"/>
      <c r="H606" s="12"/>
      <c r="I606" s="12"/>
      <c r="J606" s="12" t="str">
        <f ca="1">IFERROR(__xludf.DUMMYFUNCTION("""COMPUTED_VALUE"""),"Stress")</f>
        <v>Stress</v>
      </c>
      <c r="K606" s="13">
        <f ca="1">IFERROR(__xludf.DUMMYFUNCTION("""COMPUTED_VALUE"""),43832)</f>
        <v>43832</v>
      </c>
      <c r="L606" s="12"/>
      <c r="M606" s="12"/>
      <c r="N606" s="12" t="str">
        <f ca="1">IFERROR(__xludf.DUMMYFUNCTION("""COMPUTED_VALUE"""),"Table1")</f>
        <v>Table1</v>
      </c>
    </row>
    <row r="607" spans="1:14" ht="15.75" customHeight="1" x14ac:dyDescent="0.35">
      <c r="A607" s="12" t="str">
        <f ca="1">IFERROR(__xludf.DUMMYFUNCTION("""COMPUTED_VALUE"""),"Poythress, Vern S.")</f>
        <v>Poythress, Vern S.</v>
      </c>
      <c r="B607" s="12" t="str">
        <f ca="1">IFERROR(__xludf.DUMMYFUNCTION("""COMPUTED_VALUE""")," Vern S. Poythress")</f>
        <v xml:space="preserve"> Vern S. Poythress</v>
      </c>
      <c r="C607" s="12" t="str">
        <f ca="1">IFERROR(__xludf.DUMMYFUNCTION("""COMPUTED_VALUE"""),"God Centered Biblical Interpretation")</f>
        <v>God Centered Biblical Interpretation</v>
      </c>
      <c r="D607" s="12"/>
      <c r="E607" s="12" t="str">
        <f ca="1">IFERROR(__xludf.DUMMYFUNCTION("""COMPUTED_VALUE"""),"Book")</f>
        <v>Book</v>
      </c>
      <c r="F607" s="12" t="str">
        <f ca="1">IFERROR(__xludf.DUMMYFUNCTION("""COMPUTED_VALUE"""),"Bible")</f>
        <v>Bible</v>
      </c>
      <c r="G607" s="12"/>
      <c r="H607" s="12"/>
      <c r="I607" s="12"/>
      <c r="J607" s="12"/>
      <c r="K607" s="13">
        <f ca="1">IFERROR(__xludf.DUMMYFUNCTION("""COMPUTED_VALUE"""),41560)</f>
        <v>41560</v>
      </c>
      <c r="L607" s="12"/>
      <c r="M607" s="12"/>
      <c r="N607" s="12" t="str">
        <f ca="1">IFERROR(__xludf.DUMMYFUNCTION("""COMPUTED_VALUE"""),"Table1")</f>
        <v>Table1</v>
      </c>
    </row>
    <row r="608" spans="1:14" ht="15.75" customHeight="1" x14ac:dyDescent="0.35">
      <c r="A608" s="12" t="str">
        <f ca="1">IFERROR(__xludf.DUMMYFUNCTION("""COMPUTED_VALUE"""),"Prentiss, Elizabeth")</f>
        <v>Prentiss, Elizabeth</v>
      </c>
      <c r="B608" s="12" t="str">
        <f ca="1">IFERROR(__xludf.DUMMYFUNCTION("""COMPUTED_VALUE""")," Elizabeth Prentiss")</f>
        <v xml:space="preserve"> Elizabeth Prentiss</v>
      </c>
      <c r="C608" s="12" t="str">
        <f ca="1">IFERROR(__xludf.DUMMYFUNCTION("""COMPUTED_VALUE"""),"Comfortable Troubles")</f>
        <v>Comfortable Troubles</v>
      </c>
      <c r="D608" s="12" t="str">
        <f ca="1">IFERROR(__xludf.DUMMYFUNCTION("""COMPUTED_VALUE"""),"Lamplighter")</f>
        <v>Lamplighter</v>
      </c>
      <c r="E608" s="12" t="str">
        <f ca="1">IFERROR(__xludf.DUMMYFUNCTION("""COMPUTED_VALUE"""),"Book")</f>
        <v>Book</v>
      </c>
      <c r="F608" s="12" t="str">
        <f ca="1">IFERROR(__xludf.DUMMYFUNCTION("""COMPUTED_VALUE"""),"Fiction")</f>
        <v>Fiction</v>
      </c>
      <c r="G608" s="12"/>
      <c r="H608" s="12"/>
      <c r="I608" s="12"/>
      <c r="J608" s="12" t="str">
        <f ca="1">IFERROR(__xludf.DUMMYFUNCTION("""COMPUTED_VALUE"""),"Youth")</f>
        <v>Youth</v>
      </c>
      <c r="K608" s="13">
        <f ca="1">IFERROR(__xludf.DUMMYFUNCTION("""COMPUTED_VALUE"""),41712)</f>
        <v>41712</v>
      </c>
      <c r="L608" s="12"/>
      <c r="M608" s="12"/>
      <c r="N608" s="12" t="str">
        <f ca="1">IFERROR(__xludf.DUMMYFUNCTION("""COMPUTED_VALUE"""),"Table1")</f>
        <v>Table1</v>
      </c>
    </row>
    <row r="609" spans="1:14" ht="15.75" customHeight="1" x14ac:dyDescent="0.35">
      <c r="A609" s="12" t="str">
        <f ca="1">IFERROR(__xludf.DUMMYFUNCTION("""COMPUTED_VALUE"""),"Priolo, Lou")</f>
        <v>Priolo, Lou</v>
      </c>
      <c r="B609" s="12" t="str">
        <f ca="1">IFERROR(__xludf.DUMMYFUNCTION("""COMPUTED_VALUE""")," Lou Priolo")</f>
        <v xml:space="preserve"> Lou Priolo</v>
      </c>
      <c r="C609" s="12" t="str">
        <f ca="1">IFERROR(__xludf.DUMMYFUNCTION("""COMPUTED_VALUE"""),"Pleasing People: How Not to be an ""Approval Junkie""")</f>
        <v>Pleasing People: How Not to be an "Approval Junkie"</v>
      </c>
      <c r="D609" s="12"/>
      <c r="E609" s="12" t="str">
        <f ca="1">IFERROR(__xludf.DUMMYFUNCTION("""COMPUTED_VALUE"""),"Book")</f>
        <v>Book</v>
      </c>
      <c r="F609" s="12" t="str">
        <f ca="1">IFERROR(__xludf.DUMMYFUNCTION("""COMPUTED_VALUE"""),"Understanding Mankind")</f>
        <v>Understanding Mankind</v>
      </c>
      <c r="G609" s="12"/>
      <c r="H609" s="12"/>
      <c r="I609" s="12"/>
      <c r="J609" s="12" t="str">
        <f ca="1">IFERROR(__xludf.DUMMYFUNCTION("""COMPUTED_VALUE"""),"Relationships")</f>
        <v>Relationships</v>
      </c>
      <c r="K609" s="13">
        <f ca="1">IFERROR(__xludf.DUMMYFUNCTION("""COMPUTED_VALUE"""),40050)</f>
        <v>40050</v>
      </c>
      <c r="L609" s="12"/>
      <c r="M609" s="12"/>
      <c r="N609" s="12" t="str">
        <f ca="1">IFERROR(__xludf.DUMMYFUNCTION("""COMPUTED_VALUE"""),"Table1")</f>
        <v>Table1</v>
      </c>
    </row>
    <row r="610" spans="1:14" ht="15.75" customHeight="1" x14ac:dyDescent="0.35">
      <c r="A610" s="12" t="str">
        <f ca="1">IFERROR(__xludf.DUMMYFUNCTION("""COMPUTED_VALUE"""),"Provencher, Devon")</f>
        <v>Provencher, Devon</v>
      </c>
      <c r="B610" s="12" t="str">
        <f ca="1">IFERROR(__xludf.DUMMYFUNCTION("""COMPUTED_VALUE""")," Devon Provencher")</f>
        <v xml:space="preserve"> Devon Provencher</v>
      </c>
      <c r="C610" s="12" t="str">
        <f ca="1">IFERROR(__xludf.DUMMYFUNCTION("""COMPUTED_VALUE"""),"God")</f>
        <v>God</v>
      </c>
      <c r="D610" s="12" t="str">
        <f ca="1">IFERROR(__xludf.DUMMYFUNCTION("""COMPUTED_VALUE"""),"Big Theology for Little Hearts")</f>
        <v>Big Theology for Little Hearts</v>
      </c>
      <c r="E610" s="12" t="str">
        <f ca="1">IFERROR(__xludf.DUMMYFUNCTION("""COMPUTED_VALUE"""),"Book")</f>
        <v>Book</v>
      </c>
      <c r="F610" s="12" t="str">
        <f ca="1">IFERROR(__xludf.DUMMYFUNCTION("""COMPUTED_VALUE"""),"Children")</f>
        <v>Children</v>
      </c>
      <c r="G610" s="12"/>
      <c r="H610" s="12"/>
      <c r="I610" s="12"/>
      <c r="J610" s="12"/>
      <c r="K610" s="13">
        <f ca="1">IFERROR(__xludf.DUMMYFUNCTION("""COMPUTED_VALUE"""),43988)</f>
        <v>43988</v>
      </c>
      <c r="L610" s="12"/>
      <c r="M610" s="12"/>
      <c r="N610" s="12" t="str">
        <f ca="1">IFERROR(__xludf.DUMMYFUNCTION("""COMPUTED_VALUE"""),"Table1")</f>
        <v>Table1</v>
      </c>
    </row>
    <row r="611" spans="1:14" ht="15.75" customHeight="1" x14ac:dyDescent="0.35">
      <c r="A611" s="12" t="str">
        <f ca="1">IFERROR(__xludf.DUMMYFUNCTION("""COMPUTED_VALUE"""),"Provencher, Devon")</f>
        <v>Provencher, Devon</v>
      </c>
      <c r="B611" s="12" t="str">
        <f ca="1">IFERROR(__xludf.DUMMYFUNCTION("""COMPUTED_VALUE""")," Devon Provencher")</f>
        <v xml:space="preserve"> Devon Provencher</v>
      </c>
      <c r="C611" s="12" t="str">
        <f ca="1">IFERROR(__xludf.DUMMYFUNCTION("""COMPUTED_VALUE"""),"The Gospel")</f>
        <v>The Gospel</v>
      </c>
      <c r="D611" s="12" t="str">
        <f ca="1">IFERROR(__xludf.DUMMYFUNCTION("""COMPUTED_VALUE"""),"Big Theology for Little Hearts")</f>
        <v>Big Theology for Little Hearts</v>
      </c>
      <c r="E611" s="12" t="str">
        <f ca="1">IFERROR(__xludf.DUMMYFUNCTION("""COMPUTED_VALUE"""),"Book")</f>
        <v>Book</v>
      </c>
      <c r="F611" s="12" t="str">
        <f ca="1">IFERROR(__xludf.DUMMYFUNCTION("""COMPUTED_VALUE"""),"Children")</f>
        <v>Children</v>
      </c>
      <c r="G611" s="12"/>
      <c r="H611" s="12"/>
      <c r="I611" s="12"/>
      <c r="J611" s="12"/>
      <c r="K611" s="13">
        <f ca="1">IFERROR(__xludf.DUMMYFUNCTION("""COMPUTED_VALUE"""),43988)</f>
        <v>43988</v>
      </c>
      <c r="L611" s="12"/>
      <c r="M611" s="12"/>
      <c r="N611" s="12" t="str">
        <f ca="1">IFERROR(__xludf.DUMMYFUNCTION("""COMPUTED_VALUE"""),"Table1")</f>
        <v>Table1</v>
      </c>
    </row>
    <row r="612" spans="1:14" ht="15.75" customHeight="1" x14ac:dyDescent="0.35">
      <c r="A612" s="12" t="str">
        <f ca="1">IFERROR(__xludf.DUMMYFUNCTION("""COMPUTED_VALUE"""),"Provencher, Devon")</f>
        <v>Provencher, Devon</v>
      </c>
      <c r="B612" s="12" t="str">
        <f ca="1">IFERROR(__xludf.DUMMYFUNCTION("""COMPUTED_VALUE""")," Devon Provencher")</f>
        <v xml:space="preserve"> Devon Provencher</v>
      </c>
      <c r="C612" s="12" t="str">
        <f ca="1">IFERROR(__xludf.DUMMYFUNCTION("""COMPUTED_VALUE"""),"Jesus")</f>
        <v>Jesus</v>
      </c>
      <c r="D612" s="12" t="str">
        <f ca="1">IFERROR(__xludf.DUMMYFUNCTION("""COMPUTED_VALUE"""),"Big Theology for Little Hearts")</f>
        <v>Big Theology for Little Hearts</v>
      </c>
      <c r="E612" s="12" t="str">
        <f ca="1">IFERROR(__xludf.DUMMYFUNCTION("""COMPUTED_VALUE"""),"Book")</f>
        <v>Book</v>
      </c>
      <c r="F612" s="12" t="str">
        <f ca="1">IFERROR(__xludf.DUMMYFUNCTION("""COMPUTED_VALUE"""),"Children")</f>
        <v>Children</v>
      </c>
      <c r="G612" s="12"/>
      <c r="H612" s="12"/>
      <c r="I612" s="12"/>
      <c r="J612" s="12"/>
      <c r="K612" s="13">
        <f ca="1">IFERROR(__xludf.DUMMYFUNCTION("""COMPUTED_VALUE"""),43988)</f>
        <v>43988</v>
      </c>
      <c r="L612" s="12"/>
      <c r="M612" s="12"/>
      <c r="N612" s="12" t="str">
        <f ca="1">IFERROR(__xludf.DUMMYFUNCTION("""COMPUTED_VALUE"""),"Table1")</f>
        <v>Table1</v>
      </c>
    </row>
    <row r="613" spans="1:14" ht="15.75" customHeight="1" x14ac:dyDescent="0.35">
      <c r="A613" s="12" t="str">
        <f ca="1">IFERROR(__xludf.DUMMYFUNCTION("""COMPUTED_VALUE"""),"Rainer, Thom S.")</f>
        <v>Rainer, Thom S.</v>
      </c>
      <c r="B613" s="12" t="str">
        <f ca="1">IFERROR(__xludf.DUMMYFUNCTION("""COMPUTED_VALUE""")," Thom S. Rainer")</f>
        <v xml:space="preserve"> Thom S. Rainer</v>
      </c>
      <c r="C613" s="12" t="str">
        <f ca="1">IFERROR(__xludf.DUMMYFUNCTION("""COMPUTED_VALUE"""),"I Am a Church Member")</f>
        <v>I Am a Church Member</v>
      </c>
      <c r="D613" s="12"/>
      <c r="E613" s="12" t="str">
        <f ca="1">IFERROR(__xludf.DUMMYFUNCTION("""COMPUTED_VALUE"""),"Book")</f>
        <v>Book</v>
      </c>
      <c r="F613" s="12" t="str">
        <f ca="1">IFERROR(__xludf.DUMMYFUNCTION("""COMPUTED_VALUE"""),"Church")</f>
        <v>Church</v>
      </c>
      <c r="G613" s="12"/>
      <c r="H613" s="12"/>
      <c r="I613" s="12"/>
      <c r="J613" s="12" t="str">
        <f ca="1">IFERROR(__xludf.DUMMYFUNCTION("""COMPUTED_VALUE"""),"Church Membership")</f>
        <v>Church Membership</v>
      </c>
      <c r="K613" s="13">
        <f ca="1">IFERROR(__xludf.DUMMYFUNCTION("""COMPUTED_VALUE"""),42309)</f>
        <v>42309</v>
      </c>
      <c r="L613" s="12"/>
      <c r="M613" s="12"/>
      <c r="N613" s="12" t="str">
        <f ca="1">IFERROR(__xludf.DUMMYFUNCTION("""COMPUTED_VALUE"""),"Table1")</f>
        <v>Table1</v>
      </c>
    </row>
    <row r="614" spans="1:14" ht="15.75" customHeight="1" x14ac:dyDescent="0.35">
      <c r="A614" s="12" t="str">
        <f ca="1">IFERROR(__xludf.DUMMYFUNCTION("""COMPUTED_VALUE"""),"Rainer, Thom S.")</f>
        <v>Rainer, Thom S.</v>
      </c>
      <c r="B614" s="12" t="str">
        <f ca="1">IFERROR(__xludf.DUMMYFUNCTION("""COMPUTED_VALUE""")," Thom S. Rainer")</f>
        <v xml:space="preserve"> Thom S. Rainer</v>
      </c>
      <c r="C614" s="12" t="str">
        <f ca="1">IFERROR(__xludf.DUMMYFUNCTION("""COMPUTED_VALUE"""),"I Could, I Might, I Can, I Should, I Will!  Nine Traits of the Outwardly Focused Christian")</f>
        <v>I Could, I Might, I Can, I Should, I Will!  Nine Traits of the Outwardly Focused Christian</v>
      </c>
      <c r="D614" s="12"/>
      <c r="E614" s="12" t="str">
        <f ca="1">IFERROR(__xludf.DUMMYFUNCTION("""COMPUTED_VALUE"""),"Book")</f>
        <v>Book</v>
      </c>
      <c r="F614" s="12" t="str">
        <f ca="1">IFERROR(__xludf.DUMMYFUNCTION("""COMPUTED_VALUE"""),"Discipleship")</f>
        <v>Discipleship</v>
      </c>
      <c r="G614" s="12"/>
      <c r="H614" s="12"/>
      <c r="I614" s="12"/>
      <c r="J614" s="12"/>
      <c r="K614" s="13">
        <f ca="1">IFERROR(__xludf.DUMMYFUNCTION("""COMPUTED_VALUE"""),44423)</f>
        <v>44423</v>
      </c>
      <c r="L614" s="12"/>
      <c r="M614" s="12"/>
      <c r="N614" s="12" t="str">
        <f ca="1">IFERROR(__xludf.DUMMYFUNCTION("""COMPUTED_VALUE"""),"Table1")</f>
        <v>Table1</v>
      </c>
    </row>
    <row r="615" spans="1:14" ht="15.75" customHeight="1" x14ac:dyDescent="0.35">
      <c r="A615" s="12" t="str">
        <f ca="1">IFERROR(__xludf.DUMMYFUNCTION("""COMPUTED_VALUE"""),"Ramey, Ken")</f>
        <v>Ramey, Ken</v>
      </c>
      <c r="B615" s="12" t="str">
        <f ca="1">IFERROR(__xludf.DUMMYFUNCTION("""COMPUTED_VALUE""")," Ken Ramey")</f>
        <v xml:space="preserve"> Ken Ramey</v>
      </c>
      <c r="C615" s="12" t="str">
        <f ca="1">IFERROR(__xludf.DUMMYFUNCTION("""COMPUTED_VALUE"""),"Expository Listening: A Practical Handbook for Hearing and Doing God's Word")</f>
        <v>Expository Listening: A Practical Handbook for Hearing and Doing God's Word</v>
      </c>
      <c r="D615" s="12"/>
      <c r="E615" s="12" t="str">
        <f ca="1">IFERROR(__xludf.DUMMYFUNCTION("""COMPUTED_VALUE"""),"Book")</f>
        <v>Book</v>
      </c>
      <c r="F615" s="12" t="str">
        <f ca="1">IFERROR(__xludf.DUMMYFUNCTION("""COMPUTED_VALUE"""),"Discipleship")</f>
        <v>Discipleship</v>
      </c>
      <c r="G615" s="12"/>
      <c r="H615" s="12"/>
      <c r="I615" s="12"/>
      <c r="J615" s="12"/>
      <c r="K615" s="13">
        <f ca="1">IFERROR(__xludf.DUMMYFUNCTION("""COMPUTED_VALUE"""),40735)</f>
        <v>40735</v>
      </c>
      <c r="L615" s="12"/>
      <c r="M615" s="12"/>
      <c r="N615" s="12" t="str">
        <f ca="1">IFERROR(__xludf.DUMMYFUNCTION("""COMPUTED_VALUE"""),"Table1")</f>
        <v>Table1</v>
      </c>
    </row>
    <row r="616" spans="1:14" ht="15.75" customHeight="1" x14ac:dyDescent="0.35">
      <c r="A616" s="12" t="str">
        <f ca="1">IFERROR(__xludf.DUMMYFUNCTION("""COMPUTED_VALUE"""),"Reeves, Michael")</f>
        <v>Reeves, Michael</v>
      </c>
      <c r="B616" s="12" t="str">
        <f ca="1">IFERROR(__xludf.DUMMYFUNCTION("""COMPUTED_VALUE""")," Michael Reeves")</f>
        <v xml:space="preserve"> Michael Reeves</v>
      </c>
      <c r="C616" s="12" t="str">
        <f ca="1">IFERROR(__xludf.DUMMYFUNCTION("""COMPUTED_VALUE"""),"Delighting in the Trinity")</f>
        <v>Delighting in the Trinity</v>
      </c>
      <c r="D616" s="12"/>
      <c r="E616" s="12" t="str">
        <f ca="1">IFERROR(__xludf.DUMMYFUNCTION("""COMPUTED_VALUE"""),"Book")</f>
        <v>Book</v>
      </c>
      <c r="F616" s="12" t="str">
        <f ca="1">IFERROR(__xludf.DUMMYFUNCTION("""COMPUTED_VALUE"""),"Theology")</f>
        <v>Theology</v>
      </c>
      <c r="G616" s="12"/>
      <c r="H616" s="12"/>
      <c r="I616" s="12"/>
      <c r="J616" s="12"/>
      <c r="K616" s="13">
        <f ca="1">IFERROR(__xludf.DUMMYFUNCTION("""COMPUTED_VALUE"""),41287)</f>
        <v>41287</v>
      </c>
      <c r="L616" s="12"/>
      <c r="M616" s="12"/>
      <c r="N616" s="12" t="str">
        <f ca="1">IFERROR(__xludf.DUMMYFUNCTION("""COMPUTED_VALUE"""),"Table1")</f>
        <v>Table1</v>
      </c>
    </row>
    <row r="617" spans="1:14" ht="15.75" customHeight="1" x14ac:dyDescent="0.35">
      <c r="A617" s="12" t="str">
        <f ca="1">IFERROR(__xludf.DUMMYFUNCTION("""COMPUTED_VALUE"""),"Reeves, Michael")</f>
        <v>Reeves, Michael</v>
      </c>
      <c r="B617" s="12" t="str">
        <f ca="1">IFERROR(__xludf.DUMMYFUNCTION("""COMPUTED_VALUE""")," Michael Reeves")</f>
        <v xml:space="preserve"> Michael Reeves</v>
      </c>
      <c r="C617" s="12" t="str">
        <f ca="1">IFERROR(__xludf.DUMMYFUNCTION("""COMPUTED_VALUE"""),"Gospel People: A Call for Evangelical Integrity")</f>
        <v>Gospel People: A Call for Evangelical Integrity</v>
      </c>
      <c r="D617" s="12"/>
      <c r="E617" s="12" t="str">
        <f ca="1">IFERROR(__xludf.DUMMYFUNCTION("""COMPUTED_VALUE"""),"Book")</f>
        <v>Book</v>
      </c>
      <c r="F617" s="12" t="str">
        <f ca="1">IFERROR(__xludf.DUMMYFUNCTION("""COMPUTED_VALUE"""),"Theology")</f>
        <v>Theology</v>
      </c>
      <c r="G617" s="12"/>
      <c r="H617" s="12"/>
      <c r="I617" s="12"/>
      <c r="J617" s="12" t="str">
        <f ca="1">IFERROR(__xludf.DUMMYFUNCTION("""COMPUTED_VALUE"""),"Gospel")</f>
        <v>Gospel</v>
      </c>
      <c r="K617" s="13">
        <f ca="1">IFERROR(__xludf.DUMMYFUNCTION("""COMPUTED_VALUE"""),44772)</f>
        <v>44772</v>
      </c>
      <c r="L617" s="12"/>
      <c r="M617" s="12"/>
      <c r="N617" s="12" t="str">
        <f ca="1">IFERROR(__xludf.DUMMYFUNCTION("""COMPUTED_VALUE"""),"Table1")</f>
        <v>Table1</v>
      </c>
    </row>
    <row r="618" spans="1:14" ht="15.75" customHeight="1" x14ac:dyDescent="0.35">
      <c r="A618" s="12" t="str">
        <f ca="1">IFERROR(__xludf.DUMMYFUNCTION("""COMPUTED_VALUE"""),"Reeves, Michael")</f>
        <v>Reeves, Michael</v>
      </c>
      <c r="B618" s="12" t="str">
        <f ca="1">IFERROR(__xludf.DUMMYFUNCTION("""COMPUTED_VALUE""")," Michael Reeves")</f>
        <v xml:space="preserve"> Michael Reeves</v>
      </c>
      <c r="C618" s="12" t="str">
        <f ca="1">IFERROR(__xludf.DUMMYFUNCTION("""COMPUTED_VALUE"""),"Rejoice and Tremble: The Surprising Good News of the Fear of the Lord")</f>
        <v>Rejoice and Tremble: The Surprising Good News of the Fear of the Lord</v>
      </c>
      <c r="D618" s="12"/>
      <c r="E618" s="12" t="str">
        <f ca="1">IFERROR(__xludf.DUMMYFUNCTION("""COMPUTED_VALUE"""),"Book")</f>
        <v>Book</v>
      </c>
      <c r="F618" s="12" t="str">
        <f ca="1">IFERROR(__xludf.DUMMYFUNCTION("""COMPUTED_VALUE"""),"Discipleship")</f>
        <v>Discipleship</v>
      </c>
      <c r="G618" s="12"/>
      <c r="H618" s="12"/>
      <c r="I618" s="12"/>
      <c r="J618" s="12"/>
      <c r="K618" s="13">
        <f ca="1">IFERROR(__xludf.DUMMYFUNCTION("""COMPUTED_VALUE"""),44240)</f>
        <v>44240</v>
      </c>
      <c r="L618" s="12"/>
      <c r="M618" s="12"/>
      <c r="N618" s="12" t="str">
        <f ca="1">IFERROR(__xludf.DUMMYFUNCTION("""COMPUTED_VALUE"""),"Table1")</f>
        <v>Table1</v>
      </c>
    </row>
    <row r="619" spans="1:14" ht="15.75" customHeight="1" x14ac:dyDescent="0.35">
      <c r="A619" s="12" t="str">
        <f ca="1">IFERROR(__xludf.DUMMYFUNCTION("""COMPUTED_VALUE"""),"Reinke, Tony")</f>
        <v>Reinke, Tony</v>
      </c>
      <c r="B619" s="12" t="str">
        <f ca="1">IFERROR(__xludf.DUMMYFUNCTION("""COMPUTED_VALUE""")," Tony Reinke")</f>
        <v xml:space="preserve"> Tony Reinke</v>
      </c>
      <c r="C619" s="12" t="str">
        <f ca="1">IFERROR(__xludf.DUMMYFUNCTION("""COMPUTED_VALUE"""),"12 Ways Your Phone is Changing You")</f>
        <v>12 Ways Your Phone is Changing You</v>
      </c>
      <c r="D619" s="12"/>
      <c r="E619" s="12" t="str">
        <f ca="1">IFERROR(__xludf.DUMMYFUNCTION("""COMPUTED_VALUE"""),"Book")</f>
        <v>Book</v>
      </c>
      <c r="F619" s="12" t="str">
        <f ca="1">IFERROR(__xludf.DUMMYFUNCTION("""COMPUTED_VALUE"""),"Discipleship")</f>
        <v>Discipleship</v>
      </c>
      <c r="G619" s="12" t="str">
        <f ca="1">IFERROR(__xludf.DUMMYFUNCTION("""COMPUTED_VALUE"""),"Understanding Mankind")</f>
        <v>Understanding Mankind</v>
      </c>
      <c r="H619" s="12"/>
      <c r="I619" s="12"/>
      <c r="J619" s="12" t="str">
        <f ca="1">IFERROR(__xludf.DUMMYFUNCTION("""COMPUTED_VALUE"""),"Time Management")</f>
        <v>Time Management</v>
      </c>
      <c r="K619" s="13">
        <f ca="1">IFERROR(__xludf.DUMMYFUNCTION("""COMPUTED_VALUE"""),42966)</f>
        <v>42966</v>
      </c>
      <c r="L619" s="12"/>
      <c r="M619" s="12"/>
      <c r="N619" s="12" t="str">
        <f ca="1">IFERROR(__xludf.DUMMYFUNCTION("""COMPUTED_VALUE"""),"Table1")</f>
        <v>Table1</v>
      </c>
    </row>
    <row r="620" spans="1:14" ht="15.75" customHeight="1" x14ac:dyDescent="0.35">
      <c r="A620" s="12" t="str">
        <f ca="1">IFERROR(__xludf.DUMMYFUNCTION("""COMPUTED_VALUE"""),"Reinke, Tony")</f>
        <v>Reinke, Tony</v>
      </c>
      <c r="B620" s="12" t="str">
        <f ca="1">IFERROR(__xludf.DUMMYFUNCTION("""COMPUTED_VALUE""")," Tony Reinke")</f>
        <v xml:space="preserve"> Tony Reinke</v>
      </c>
      <c r="C620" s="12" t="str">
        <f ca="1">IFERROR(__xludf.DUMMYFUNCTION("""COMPUTED_VALUE"""),"Competing Spectacles: Treasuing Christ in the Media Age")</f>
        <v>Competing Spectacles: Treasuing Christ in the Media Age</v>
      </c>
      <c r="D620" s="12"/>
      <c r="E620" s="12" t="str">
        <f ca="1">IFERROR(__xludf.DUMMYFUNCTION("""COMPUTED_VALUE"""),"Book")</f>
        <v>Book</v>
      </c>
      <c r="F620" s="12" t="str">
        <f ca="1">IFERROR(__xludf.DUMMYFUNCTION("""COMPUTED_VALUE"""),"Understanding Mankind")</f>
        <v>Understanding Mankind</v>
      </c>
      <c r="G620" s="12"/>
      <c r="H620" s="12"/>
      <c r="I620" s="12"/>
      <c r="J620" s="12" t="str">
        <f ca="1">IFERROR(__xludf.DUMMYFUNCTION("""COMPUTED_VALUE"""),"Time Management, Media")</f>
        <v>Time Management, Media</v>
      </c>
      <c r="K620" s="13">
        <f ca="1">IFERROR(__xludf.DUMMYFUNCTION("""COMPUTED_VALUE"""),44423)</f>
        <v>44423</v>
      </c>
      <c r="L620" s="12"/>
      <c r="M620" s="12"/>
      <c r="N620" s="12" t="str">
        <f ca="1">IFERROR(__xludf.DUMMYFUNCTION("""COMPUTED_VALUE"""),"Table1")</f>
        <v>Table1</v>
      </c>
    </row>
    <row r="621" spans="1:14" ht="15.75" customHeight="1" x14ac:dyDescent="0.35">
      <c r="A621" s="12" t="str">
        <f ca="1">IFERROR(__xludf.DUMMYFUNCTION("""COMPUTED_VALUE"""),"Reinke, Tony")</f>
        <v>Reinke, Tony</v>
      </c>
      <c r="B621" s="12" t="str">
        <f ca="1">IFERROR(__xludf.DUMMYFUNCTION("""COMPUTED_VALUE""")," Tony Reinke")</f>
        <v xml:space="preserve"> Tony Reinke</v>
      </c>
      <c r="C621" s="12" t="str">
        <f ca="1">IFERROR(__xludf.DUMMYFUNCTION("""COMPUTED_VALUE"""),"God, Technology, and the Christian Life")</f>
        <v>God, Technology, and the Christian Life</v>
      </c>
      <c r="D621" s="12"/>
      <c r="E621" s="12" t="str">
        <f ca="1">IFERROR(__xludf.DUMMYFUNCTION("""COMPUTED_VALUE"""),"Book")</f>
        <v>Book</v>
      </c>
      <c r="F621" s="12" t="str">
        <f ca="1">IFERROR(__xludf.DUMMYFUNCTION("""COMPUTED_VALUE"""),"Worldview")</f>
        <v>Worldview</v>
      </c>
      <c r="G621" s="12"/>
      <c r="H621" s="12"/>
      <c r="I621" s="12"/>
      <c r="J621" s="12" t="str">
        <f ca="1">IFERROR(__xludf.DUMMYFUNCTION("""COMPUTED_VALUE"""),"Technology")</f>
        <v>Technology</v>
      </c>
      <c r="K621" s="13">
        <f ca="1">IFERROR(__xludf.DUMMYFUNCTION("""COMPUTED_VALUE"""),44772)</f>
        <v>44772</v>
      </c>
      <c r="L621" s="12"/>
      <c r="M621" s="12"/>
      <c r="N621" s="12" t="str">
        <f ca="1">IFERROR(__xludf.DUMMYFUNCTION("""COMPUTED_VALUE"""),"Table1")</f>
        <v>Table1</v>
      </c>
    </row>
    <row r="622" spans="1:14" ht="15.75" customHeight="1" x14ac:dyDescent="0.35">
      <c r="A622" s="12" t="str">
        <f ca="1">IFERROR(__xludf.DUMMYFUNCTION("""COMPUTED_VALUE"""),"Reissig, Courtney")</f>
        <v>Reissig, Courtney</v>
      </c>
      <c r="B622" s="12" t="str">
        <f ca="1">IFERROR(__xludf.DUMMYFUNCTION("""COMPUTED_VALUE""")," Courtney Reissig")</f>
        <v xml:space="preserve"> Courtney Reissig</v>
      </c>
      <c r="C622" s="12" t="str">
        <f ca="1">IFERROR(__xludf.DUMMYFUNCTION("""COMPUTED_VALUE"""),"The Accidental Feminist")</f>
        <v>The Accidental Feminist</v>
      </c>
      <c r="D622" s="12"/>
      <c r="E622" s="12" t="str">
        <f ca="1">IFERROR(__xludf.DUMMYFUNCTION("""COMPUTED_VALUE"""),"Book")</f>
        <v>Book</v>
      </c>
      <c r="F622" s="12" t="str">
        <f ca="1">IFERROR(__xludf.DUMMYFUNCTION("""COMPUTED_VALUE"""),"Understanding Mankind")</f>
        <v>Understanding Mankind</v>
      </c>
      <c r="G622" s="12"/>
      <c r="H622" s="12"/>
      <c r="I622" s="12"/>
      <c r="J622" s="12" t="str">
        <f ca="1">IFERROR(__xludf.DUMMYFUNCTION("""COMPUTED_VALUE"""),"Christian Women, Feminism")</f>
        <v>Christian Women, Feminism</v>
      </c>
      <c r="K622" s="13">
        <f ca="1">IFERROR(__xludf.DUMMYFUNCTION("""COMPUTED_VALUE"""),42705)</f>
        <v>42705</v>
      </c>
      <c r="L622" s="12"/>
      <c r="M622" s="12"/>
      <c r="N622" s="12" t="str">
        <f ca="1">IFERROR(__xludf.DUMMYFUNCTION("""COMPUTED_VALUE"""),"Table1")</f>
        <v>Table1</v>
      </c>
    </row>
    <row r="623" spans="1:14" ht="15.75" customHeight="1" x14ac:dyDescent="0.35">
      <c r="A623" s="12" t="str">
        <f ca="1">IFERROR(__xludf.DUMMYFUNCTION("""COMPUTED_VALUE"""),"Reju, Deepak")</f>
        <v>Reju, Deepak</v>
      </c>
      <c r="B623" s="12" t="str">
        <f ca="1">IFERROR(__xludf.DUMMYFUNCTION("""COMPUTED_VALUE""")," Deepak Reju")</f>
        <v xml:space="preserve"> Deepak Reju</v>
      </c>
      <c r="C623" s="12" t="str">
        <f ca="1">IFERROR(__xludf.DUMMYFUNCTION("""COMPUTED_VALUE"""),"Pornography: Fighting for Purity")</f>
        <v>Pornography: Fighting for Purity</v>
      </c>
      <c r="D623" s="12"/>
      <c r="E623" s="12" t="str">
        <f ca="1">IFERROR(__xludf.DUMMYFUNCTION("""COMPUTED_VALUE"""),"Book")</f>
        <v>Book</v>
      </c>
      <c r="F623" s="12" t="str">
        <f ca="1">IFERROR(__xludf.DUMMYFUNCTION("""COMPUTED_VALUE"""),"Understanding Mankind")</f>
        <v>Understanding Mankind</v>
      </c>
      <c r="G623" s="12"/>
      <c r="H623" s="12" t="str">
        <f ca="1">IFERROR(__xludf.DUMMYFUNCTION("""COMPUTED_VALUE"""),"Devotionals")</f>
        <v>Devotionals</v>
      </c>
      <c r="I623" s="12"/>
      <c r="J623" s="12" t="str">
        <f ca="1">IFERROR(__xludf.DUMMYFUNCTION("""COMPUTED_VALUE"""),"Sexuality, Sin")</f>
        <v>Sexuality, Sin</v>
      </c>
      <c r="K623" s="13"/>
      <c r="L623" s="12"/>
      <c r="M623" s="12"/>
      <c r="N623" s="12" t="str">
        <f ca="1">IFERROR(__xludf.DUMMYFUNCTION("""COMPUTED_VALUE"""),"Table1")</f>
        <v>Table1</v>
      </c>
    </row>
    <row r="624" spans="1:14" ht="15.75" customHeight="1" x14ac:dyDescent="0.35">
      <c r="A624" s="12" t="str">
        <f ca="1">IFERROR(__xludf.DUMMYFUNCTION("""COMPUTED_VALUE"""),"Repp, Gloria")</f>
        <v>Repp, Gloria</v>
      </c>
      <c r="B624" s="12" t="str">
        <f ca="1">IFERROR(__xludf.DUMMYFUNCTION("""COMPUTED_VALUE""")," Gloria Repp")</f>
        <v xml:space="preserve"> Gloria Repp</v>
      </c>
      <c r="C624" s="12" t="str">
        <f ca="1">IFERROR(__xludf.DUMMYFUNCTION("""COMPUTED_VALUE"""),"Nothing Daunted: The Story of Isobel Kuhn")</f>
        <v>Nothing Daunted: The Story of Isobel Kuhn</v>
      </c>
      <c r="D624" s="12"/>
      <c r="E624" s="12" t="str">
        <f ca="1">IFERROR(__xludf.DUMMYFUNCTION("""COMPUTED_VALUE"""),"Book")</f>
        <v>Book</v>
      </c>
      <c r="F624" s="12" t="str">
        <f ca="1">IFERROR(__xludf.DUMMYFUNCTION("""COMPUTED_VALUE"""),"Children")</f>
        <v>Children</v>
      </c>
      <c r="G624" s="12"/>
      <c r="H624" s="12"/>
      <c r="I624" s="12"/>
      <c r="J624" s="12"/>
      <c r="K624" s="13">
        <f ca="1">IFERROR(__xludf.DUMMYFUNCTION("""COMPUTED_VALUE"""),41164)</f>
        <v>41164</v>
      </c>
      <c r="L624" s="12"/>
      <c r="M624" s="12"/>
      <c r="N624" s="12" t="str">
        <f ca="1">IFERROR(__xludf.DUMMYFUNCTION("""COMPUTED_VALUE"""),"Table1")</f>
        <v>Table1</v>
      </c>
    </row>
    <row r="625" spans="1:14" ht="15.75" customHeight="1" x14ac:dyDescent="0.35">
      <c r="A625" s="12" t="str">
        <f ca="1">IFERROR(__xludf.DUMMYFUNCTION("""COMPUTED_VALUE"""),"Repp, Gloria")</f>
        <v>Repp, Gloria</v>
      </c>
      <c r="B625" s="12" t="str">
        <f ca="1">IFERROR(__xludf.DUMMYFUNCTION("""COMPUTED_VALUE""")," Gloria Repp")</f>
        <v xml:space="preserve"> Gloria Repp</v>
      </c>
      <c r="C625" s="12" t="str">
        <f ca="1">IFERROR(__xludf.DUMMYFUNCTION("""COMPUTED_VALUE"""),"Trouble at Silver Pines Inn")</f>
        <v>Trouble at Silver Pines Inn</v>
      </c>
      <c r="D625" s="12"/>
      <c r="E625" s="12" t="str">
        <f ca="1">IFERROR(__xludf.DUMMYFUNCTION("""COMPUTED_VALUE"""),"Book")</f>
        <v>Book</v>
      </c>
      <c r="F625" s="12" t="str">
        <f ca="1">IFERROR(__xludf.DUMMYFUNCTION("""COMPUTED_VALUE"""),"Children")</f>
        <v>Children</v>
      </c>
      <c r="G625" s="12"/>
      <c r="H625" s="12"/>
      <c r="I625" s="12"/>
      <c r="J625" s="12"/>
      <c r="K625" s="13">
        <f ca="1">IFERROR(__xludf.DUMMYFUNCTION("""COMPUTED_VALUE"""),41011)</f>
        <v>41011</v>
      </c>
      <c r="L625" s="12" t="str">
        <f ca="1">IFERROR(__xludf.DUMMYFUNCTION("""COMPUTED_VALUE"""),"Missing as of February 2020")</f>
        <v>Missing as of February 2020</v>
      </c>
      <c r="M625" s="12"/>
      <c r="N625" s="12" t="str">
        <f ca="1">IFERROR(__xludf.DUMMYFUNCTION("""COMPUTED_VALUE"""),"Table1")</f>
        <v>Table1</v>
      </c>
    </row>
    <row r="626" spans="1:14" ht="15.75" customHeight="1" x14ac:dyDescent="0.35">
      <c r="A626" s="12" t="str">
        <f ca="1">IFERROR(__xludf.DUMMYFUNCTION("""COMPUTED_VALUE"""),"Rhodes, Matt")</f>
        <v>Rhodes, Matt</v>
      </c>
      <c r="B626" s="12" t="str">
        <f ca="1">IFERROR(__xludf.DUMMYFUNCTION("""COMPUTED_VALUE""")," Matt Rhodes")</f>
        <v xml:space="preserve"> Matt Rhodes</v>
      </c>
      <c r="C626" s="12" t="str">
        <f ca="1">IFERROR(__xludf.DUMMYFUNCTION("""COMPUTED_VALUE"""),"No Shortcut to Success: A Manifesto for Modern Missions")</f>
        <v>No Shortcut to Success: A Manifesto for Modern Missions</v>
      </c>
      <c r="D626" s="12" t="str">
        <f ca="1">IFERROR(__xludf.DUMMYFUNCTION("""COMPUTED_VALUE"""),"9 Marks")</f>
        <v>9 Marks</v>
      </c>
      <c r="E626" s="12" t="str">
        <f ca="1">IFERROR(__xludf.DUMMYFUNCTION("""COMPUTED_VALUE"""),"Book")</f>
        <v>Book</v>
      </c>
      <c r="F626" s="12" t="str">
        <f ca="1">IFERROR(__xludf.DUMMYFUNCTION("""COMPUTED_VALUE"""),"Salvation")</f>
        <v>Salvation</v>
      </c>
      <c r="G626" s="12"/>
      <c r="H626" s="12"/>
      <c r="I626" s="12"/>
      <c r="J626" s="12" t="str">
        <f ca="1">IFERROR(__xludf.DUMMYFUNCTION("""COMPUTED_VALUE"""),"Evangelism")</f>
        <v>Evangelism</v>
      </c>
      <c r="K626" s="13">
        <f ca="1">IFERROR(__xludf.DUMMYFUNCTION("""COMPUTED_VALUE"""),44772)</f>
        <v>44772</v>
      </c>
      <c r="L626" s="12"/>
      <c r="M626" s="12"/>
      <c r="N626" s="12" t="str">
        <f ca="1">IFERROR(__xludf.DUMMYFUNCTION("""COMPUTED_VALUE"""),"Table1")</f>
        <v>Table1</v>
      </c>
    </row>
    <row r="627" spans="1:14" ht="15.75" customHeight="1" x14ac:dyDescent="0.35">
      <c r="A627" s="12" t="str">
        <f ca="1">IFERROR(__xludf.DUMMYFUNCTION("""COMPUTED_VALUE"""),"Ricucci, Gary &amp; Betsy")</f>
        <v>Ricucci, Gary &amp; Betsy</v>
      </c>
      <c r="B627" s="12" t="str">
        <f ca="1">IFERROR(__xludf.DUMMYFUNCTION("""COMPUTED_VALUE""")," Gary &amp; Betsy Ricucci")</f>
        <v xml:space="preserve"> Gary &amp; Betsy Ricucci</v>
      </c>
      <c r="C627" s="12" t="str">
        <f ca="1">IFERROR(__xludf.DUMMYFUNCTION("""COMPUTED_VALUE"""),"Love That Lasts: How We Discovered God’s Better Way for Love, Dating, Marriage, and Sex ")</f>
        <v xml:space="preserve">Love That Lasts: How We Discovered God’s Better Way for Love, Dating, Marriage, and Sex </v>
      </c>
      <c r="D627" s="12"/>
      <c r="E627" s="12" t="str">
        <f ca="1">IFERROR(__xludf.DUMMYFUNCTION("""COMPUTED_VALUE"""),"Book")</f>
        <v>Book</v>
      </c>
      <c r="F627" s="12" t="str">
        <f ca="1">IFERROR(__xludf.DUMMYFUNCTION("""COMPUTED_VALUE"""),"Understanding Mankind")</f>
        <v>Understanding Mankind</v>
      </c>
      <c r="G627" s="12"/>
      <c r="H627" s="12"/>
      <c r="I627" s="12"/>
      <c r="J627" s="12" t="str">
        <f ca="1">IFERROR(__xludf.DUMMYFUNCTION("""COMPUTED_VALUE"""),"Dating, Marriage, Sexuality")</f>
        <v>Dating, Marriage, Sexuality</v>
      </c>
      <c r="K627" s="13">
        <f ca="1">IFERROR(__xludf.DUMMYFUNCTION("""COMPUTED_VALUE"""),40247)</f>
        <v>40247</v>
      </c>
      <c r="L627" s="12"/>
      <c r="M627" s="12"/>
      <c r="N627" s="12" t="str">
        <f ca="1">IFERROR(__xludf.DUMMYFUNCTION("""COMPUTED_VALUE"""),"Table1")</f>
        <v>Table1</v>
      </c>
    </row>
    <row r="628" spans="1:14" ht="15.75" customHeight="1" x14ac:dyDescent="0.35">
      <c r="A628" s="12" t="str">
        <f ca="1">IFERROR(__xludf.DUMMYFUNCTION("""COMPUTED_VALUE"""),"Rigney, Joe")</f>
        <v>Rigney, Joe</v>
      </c>
      <c r="B628" s="12" t="str">
        <f ca="1">IFERROR(__xludf.DUMMYFUNCTION("""COMPUTED_VALUE""")," Joe Rigney")</f>
        <v xml:space="preserve"> Joe Rigney</v>
      </c>
      <c r="C628" s="12" t="str">
        <f ca="1">IFERROR(__xludf.DUMMYFUNCTION("""COMPUTED_VALUE"""),"The Things of the Earth")</f>
        <v>The Things of the Earth</v>
      </c>
      <c r="D628" s="12"/>
      <c r="E628" s="12" t="str">
        <f ca="1">IFERROR(__xludf.DUMMYFUNCTION("""COMPUTED_VALUE"""),"Book")</f>
        <v>Book</v>
      </c>
      <c r="F628" s="12" t="str">
        <f ca="1">IFERROR(__xludf.DUMMYFUNCTION("""COMPUTED_VALUE"""),"Discipleship")</f>
        <v>Discipleship</v>
      </c>
      <c r="G628" s="12"/>
      <c r="H628" s="12"/>
      <c r="I628" s="12"/>
      <c r="J628" s="12"/>
      <c r="K628" s="13">
        <f ca="1">IFERROR(__xludf.DUMMYFUNCTION("""COMPUTED_VALUE"""),42139)</f>
        <v>42139</v>
      </c>
      <c r="L628" s="12"/>
      <c r="M628" s="12"/>
      <c r="N628" s="12" t="str">
        <f ca="1">IFERROR(__xludf.DUMMYFUNCTION("""COMPUTED_VALUE"""),"Table1")</f>
        <v>Table1</v>
      </c>
    </row>
    <row r="629" spans="1:14" ht="15.75" customHeight="1" x14ac:dyDescent="0.35">
      <c r="A629" s="12" t="str">
        <f ca="1">IFERROR(__xludf.DUMMYFUNCTION("""COMPUTED_VALUE"""),"Roberts, Vaughn")</f>
        <v>Roberts, Vaughn</v>
      </c>
      <c r="B629" s="12" t="str">
        <f ca="1">IFERROR(__xludf.DUMMYFUNCTION("""COMPUTED_VALUE""")," Vaughn Roberts")</f>
        <v xml:space="preserve"> Vaughn Roberts</v>
      </c>
      <c r="C629" s="12" t="str">
        <f ca="1">IFERROR(__xludf.DUMMYFUNCTION("""COMPUTED_VALUE"""),"God's Big Picture: Tracing the Storyline of the Bible")</f>
        <v>God's Big Picture: Tracing the Storyline of the Bible</v>
      </c>
      <c r="D629" s="12"/>
      <c r="E629" s="12" t="str">
        <f ca="1">IFERROR(__xludf.DUMMYFUNCTION("""COMPUTED_VALUE"""),"Book")</f>
        <v>Book</v>
      </c>
      <c r="F629" s="12" t="str">
        <f ca="1">IFERROR(__xludf.DUMMYFUNCTION("""COMPUTED_VALUE"""),"Bible")</f>
        <v>Bible</v>
      </c>
      <c r="G629" s="12"/>
      <c r="H629" s="12"/>
      <c r="I629" s="12"/>
      <c r="J629" s="12"/>
      <c r="K629" s="13">
        <f ca="1">IFERROR(__xludf.DUMMYFUNCTION("""COMPUTED_VALUE"""),44772)</f>
        <v>44772</v>
      </c>
      <c r="L629" s="12"/>
      <c r="M629" s="12"/>
      <c r="N629" s="12" t="str">
        <f ca="1">IFERROR(__xludf.DUMMYFUNCTION("""COMPUTED_VALUE"""),"Table1")</f>
        <v>Table1</v>
      </c>
    </row>
    <row r="630" spans="1:14" ht="15.75" customHeight="1" x14ac:dyDescent="0.35">
      <c r="A630" s="12" t="str">
        <f ca="1">IFERROR(__xludf.DUMMYFUNCTION("""COMPUTED_VALUE"""),"Ryken, Leland")</f>
        <v>Ryken, Leland</v>
      </c>
      <c r="B630" s="12" t="str">
        <f ca="1">IFERROR(__xludf.DUMMYFUNCTION("""COMPUTED_VALUE""")," Leland Ryken")</f>
        <v xml:space="preserve"> Leland Ryken</v>
      </c>
      <c r="C630" s="12" t="str">
        <f ca="1">IFERROR(__xludf.DUMMYFUNCTION("""COMPUTED_VALUE"""),"Choosing a Bible")</f>
        <v>Choosing a Bible</v>
      </c>
      <c r="D630" s="12"/>
      <c r="E630" s="12" t="str">
        <f ca="1">IFERROR(__xludf.DUMMYFUNCTION("""COMPUTED_VALUE"""),"Book")</f>
        <v>Book</v>
      </c>
      <c r="F630" s="12" t="str">
        <f ca="1">IFERROR(__xludf.DUMMYFUNCTION("""COMPUTED_VALUE"""),"Bible")</f>
        <v>Bible</v>
      </c>
      <c r="G630" s="12"/>
      <c r="H630" s="12"/>
      <c r="I630" s="12"/>
      <c r="J630" s="12"/>
      <c r="K630" s="13">
        <f ca="1">IFERROR(__xludf.DUMMYFUNCTION("""COMPUTED_VALUE"""),40051)</f>
        <v>40051</v>
      </c>
      <c r="L630" s="12"/>
      <c r="M630" s="12"/>
      <c r="N630" s="12" t="str">
        <f ca="1">IFERROR(__xludf.DUMMYFUNCTION("""COMPUTED_VALUE"""),"Table1")</f>
        <v>Table1</v>
      </c>
    </row>
    <row r="631" spans="1:14" ht="15.75" customHeight="1" x14ac:dyDescent="0.35">
      <c r="A631" s="12" t="str">
        <f ca="1">IFERROR(__xludf.DUMMYFUNCTION("""COMPUTED_VALUE"""),"Ryken, Leland")</f>
        <v>Ryken, Leland</v>
      </c>
      <c r="B631" s="12" t="str">
        <f ca="1">IFERROR(__xludf.DUMMYFUNCTION("""COMPUTED_VALUE""")," Leland Ryken")</f>
        <v xml:space="preserve"> Leland Ryken</v>
      </c>
      <c r="C631" s="12" t="str">
        <f ca="1">IFERROR(__xludf.DUMMYFUNCTION("""COMPUTED_VALUE"""),"The ESV and the English Bible Legacy")</f>
        <v>The ESV and the English Bible Legacy</v>
      </c>
      <c r="D631" s="12"/>
      <c r="E631" s="12" t="str">
        <f ca="1">IFERROR(__xludf.DUMMYFUNCTION("""COMPUTED_VALUE"""),"Book")</f>
        <v>Book</v>
      </c>
      <c r="F631" s="12" t="str">
        <f ca="1">IFERROR(__xludf.DUMMYFUNCTION("""COMPUTED_VALUE"""),"Bible")</f>
        <v>Bible</v>
      </c>
      <c r="G631" s="12"/>
      <c r="H631" s="12"/>
      <c r="I631" s="12"/>
      <c r="J631" s="12"/>
      <c r="K631" s="13">
        <f ca="1">IFERROR(__xludf.DUMMYFUNCTION("""COMPUTED_VALUE"""),42705)</f>
        <v>42705</v>
      </c>
      <c r="L631" s="12"/>
      <c r="M631" s="12"/>
      <c r="N631" s="12" t="str">
        <f ca="1">IFERROR(__xludf.DUMMYFUNCTION("""COMPUTED_VALUE"""),"Table1")</f>
        <v>Table1</v>
      </c>
    </row>
    <row r="632" spans="1:14" ht="15.75" customHeight="1" x14ac:dyDescent="0.35">
      <c r="A632" s="12" t="str">
        <f ca="1">IFERROR(__xludf.DUMMYFUNCTION("""COMPUTED_VALUE"""),"Ryken, Phil")</f>
        <v>Ryken, Phil</v>
      </c>
      <c r="B632" s="12" t="str">
        <f ca="1">IFERROR(__xludf.DUMMYFUNCTION("""COMPUTED_VALUE""")," Phil Ryken")</f>
        <v xml:space="preserve"> Phil Ryken</v>
      </c>
      <c r="C632" s="12" t="str">
        <f ca="1">IFERROR(__xludf.DUMMYFUNCTION("""COMPUTED_VALUE"""),"Loving the Way Jesus Loves")</f>
        <v>Loving the Way Jesus Loves</v>
      </c>
      <c r="D632" s="12"/>
      <c r="E632" s="12" t="str">
        <f ca="1">IFERROR(__xludf.DUMMYFUNCTION("""COMPUTED_VALUE"""),"Book")</f>
        <v>Book</v>
      </c>
      <c r="F632" s="12" t="str">
        <f ca="1">IFERROR(__xludf.DUMMYFUNCTION("""COMPUTED_VALUE"""),"Discipleship")</f>
        <v>Discipleship</v>
      </c>
      <c r="G632" s="12"/>
      <c r="H632" s="12"/>
      <c r="I632" s="12"/>
      <c r="J632" s="12"/>
      <c r="K632" s="13">
        <f ca="1">IFERROR(__xludf.DUMMYFUNCTION("""COMPUTED_VALUE"""),41133)</f>
        <v>41133</v>
      </c>
      <c r="L632" s="12"/>
      <c r="M632" s="12"/>
      <c r="N632" s="12" t="str">
        <f ca="1">IFERROR(__xludf.DUMMYFUNCTION("""COMPUTED_VALUE"""),"Table1")</f>
        <v>Table1</v>
      </c>
    </row>
    <row r="633" spans="1:14" ht="15.75" customHeight="1" x14ac:dyDescent="0.35">
      <c r="A633" s="12" t="str">
        <f ca="1">IFERROR(__xludf.DUMMYFUNCTION("""COMPUTED_VALUE"""),"Ryken, Phil")</f>
        <v>Ryken, Phil</v>
      </c>
      <c r="B633" s="12" t="str">
        <f ca="1">IFERROR(__xludf.DUMMYFUNCTION("""COMPUTED_VALUE""")," Phil Ryken")</f>
        <v xml:space="preserve"> Phil Ryken</v>
      </c>
      <c r="C633" s="12" t="str">
        <f ca="1">IFERROR(__xludf.DUMMYFUNCTION("""COMPUTED_VALUE"""),"When Trouble Comes")</f>
        <v>When Trouble Comes</v>
      </c>
      <c r="D633" s="12"/>
      <c r="E633" s="12" t="str">
        <f ca="1">IFERROR(__xludf.DUMMYFUNCTION("""COMPUTED_VALUE"""),"Book")</f>
        <v>Book</v>
      </c>
      <c r="F633" s="12" t="str">
        <f ca="1">IFERROR(__xludf.DUMMYFUNCTION("""COMPUTED_VALUE"""),"Understanding Mankind")</f>
        <v>Understanding Mankind</v>
      </c>
      <c r="G633" s="12"/>
      <c r="H633" s="12"/>
      <c r="I633" s="12"/>
      <c r="J633" s="12" t="str">
        <f ca="1">IFERROR(__xludf.DUMMYFUNCTION("""COMPUTED_VALUE"""),"Suffering")</f>
        <v>Suffering</v>
      </c>
      <c r="K633" s="13">
        <f ca="1">IFERROR(__xludf.DUMMYFUNCTION("""COMPUTED_VALUE"""),42561)</f>
        <v>42561</v>
      </c>
      <c r="L633" s="12"/>
      <c r="M633" s="12"/>
      <c r="N633" s="12" t="str">
        <f ca="1">IFERROR(__xludf.DUMMYFUNCTION("""COMPUTED_VALUE"""),"Table1")</f>
        <v>Table1</v>
      </c>
    </row>
    <row r="634" spans="1:14" ht="15.75" customHeight="1" x14ac:dyDescent="0.35">
      <c r="A634" s="12" t="str">
        <f ca="1">IFERROR(__xludf.DUMMYFUNCTION("""COMPUTED_VALUE"""),"Ryken, Philip Graham")</f>
        <v>Ryken, Philip Graham</v>
      </c>
      <c r="B634" s="12" t="str">
        <f ca="1">IFERROR(__xludf.DUMMYFUNCTION("""COMPUTED_VALUE""")," Philip Graham Ryken")</f>
        <v xml:space="preserve"> Philip Graham Ryken</v>
      </c>
      <c r="C634" s="12" t="str">
        <f ca="1">IFERROR(__xludf.DUMMYFUNCTION("""COMPUTED_VALUE"""),"City on a Hill: Reclaiming the Biblical Pattern for the Church")</f>
        <v>City on a Hill: Reclaiming the Biblical Pattern for the Church</v>
      </c>
      <c r="D634" s="12"/>
      <c r="E634" s="12" t="str">
        <f ca="1">IFERROR(__xludf.DUMMYFUNCTION("""COMPUTED_VALUE"""),"Book")</f>
        <v>Book</v>
      </c>
      <c r="F634" s="12" t="str">
        <f ca="1">IFERROR(__xludf.DUMMYFUNCTION("""COMPUTED_VALUE"""),"Church")</f>
        <v>Church</v>
      </c>
      <c r="G634" s="12"/>
      <c r="H634" s="12"/>
      <c r="I634" s="12"/>
      <c r="J634" s="12"/>
      <c r="K634" s="13">
        <f ca="1">IFERROR(__xludf.DUMMYFUNCTION("""COMPUTED_VALUE"""),40052)</f>
        <v>40052</v>
      </c>
      <c r="L634" s="12"/>
      <c r="M634" s="12"/>
      <c r="N634" s="12" t="str">
        <f ca="1">IFERROR(__xludf.DUMMYFUNCTION("""COMPUTED_VALUE"""),"Table1")</f>
        <v>Table1</v>
      </c>
    </row>
    <row r="635" spans="1:14" ht="15.75" customHeight="1" x14ac:dyDescent="0.35">
      <c r="A635" s="12" t="str">
        <f ca="1">IFERROR(__xludf.DUMMYFUNCTION("""COMPUTED_VALUE"""),"Ryken, Philip Graham")</f>
        <v>Ryken, Philip Graham</v>
      </c>
      <c r="B635" s="12" t="str">
        <f ca="1">IFERROR(__xludf.DUMMYFUNCTION("""COMPUTED_VALUE""")," Philip Graham Ryken")</f>
        <v xml:space="preserve"> Philip Graham Ryken</v>
      </c>
      <c r="C635" s="12" t="str">
        <f ca="1">IFERROR(__xludf.DUMMYFUNCTION("""COMPUTED_VALUE"""),"Communion of Saints: Living in Fellowship with the People of God")</f>
        <v>Communion of Saints: Living in Fellowship with the People of God</v>
      </c>
      <c r="D635" s="12"/>
      <c r="E635" s="12" t="str">
        <f ca="1">IFERROR(__xludf.DUMMYFUNCTION("""COMPUTED_VALUE"""),"Book")</f>
        <v>Book</v>
      </c>
      <c r="F635" s="12" t="str">
        <f ca="1">IFERROR(__xludf.DUMMYFUNCTION("""COMPUTED_VALUE"""),"Church")</f>
        <v>Church</v>
      </c>
      <c r="G635" s="12"/>
      <c r="H635" s="12"/>
      <c r="I635" s="12"/>
      <c r="J635" s="12" t="str">
        <f ca="1">IFERROR(__xludf.DUMMYFUNCTION("""COMPUTED_VALUE"""),"Fellowship")</f>
        <v>Fellowship</v>
      </c>
      <c r="K635" s="13">
        <f ca="1">IFERROR(__xludf.DUMMYFUNCTION("""COMPUTED_VALUE"""),40053)</f>
        <v>40053</v>
      </c>
      <c r="L635" s="12"/>
      <c r="M635" s="12"/>
      <c r="N635" s="12" t="str">
        <f ca="1">IFERROR(__xludf.DUMMYFUNCTION("""COMPUTED_VALUE"""),"Table1")</f>
        <v>Table1</v>
      </c>
    </row>
    <row r="636" spans="1:14" ht="15.75" customHeight="1" x14ac:dyDescent="0.35">
      <c r="A636" s="12" t="str">
        <f ca="1">IFERROR(__xludf.DUMMYFUNCTION("""COMPUTED_VALUE"""),"Ryle, J.C.")</f>
        <v>Ryle, J.C.</v>
      </c>
      <c r="B636" s="12" t="str">
        <f ca="1">IFERROR(__xludf.DUMMYFUNCTION("""COMPUTED_VALUE""")," J.C. Ryle")</f>
        <v xml:space="preserve"> J.C. Ryle</v>
      </c>
      <c r="C636" s="12" t="str">
        <f ca="1">IFERROR(__xludf.DUMMYFUNCTION("""COMPUTED_VALUE"""),"Do You Pray? A Question for Everybody")</f>
        <v>Do You Pray? A Question for Everybody</v>
      </c>
      <c r="D636" s="12"/>
      <c r="E636" s="12" t="str">
        <f ca="1">IFERROR(__xludf.DUMMYFUNCTION("""COMPUTED_VALUE"""),"Book")</f>
        <v>Book</v>
      </c>
      <c r="F636" s="12" t="str">
        <f ca="1">IFERROR(__xludf.DUMMYFUNCTION("""COMPUTED_VALUE"""),"Discipleship")</f>
        <v>Discipleship</v>
      </c>
      <c r="G636" s="12"/>
      <c r="H636" s="12"/>
      <c r="I636" s="12"/>
      <c r="J636" s="12" t="str">
        <f ca="1">IFERROR(__xludf.DUMMYFUNCTION("""COMPUTED_VALUE"""),"Prayer")</f>
        <v>Prayer</v>
      </c>
      <c r="K636" s="13">
        <f ca="1">IFERROR(__xludf.DUMMYFUNCTION("""COMPUTED_VALUE"""),44772)</f>
        <v>44772</v>
      </c>
      <c r="L636" s="12"/>
      <c r="M636" s="12"/>
      <c r="N636" s="12" t="str">
        <f ca="1">IFERROR(__xludf.DUMMYFUNCTION("""COMPUTED_VALUE"""),"Table1")</f>
        <v>Table1</v>
      </c>
    </row>
    <row r="637" spans="1:14" ht="15.75" customHeight="1" x14ac:dyDescent="0.35">
      <c r="A637" s="12" t="str">
        <f ca="1">IFERROR(__xludf.DUMMYFUNCTION("""COMPUTED_VALUE"""),"Ryle, J.C.")</f>
        <v>Ryle, J.C.</v>
      </c>
      <c r="B637" s="12" t="str">
        <f ca="1">IFERROR(__xludf.DUMMYFUNCTION("""COMPUTED_VALUE""")," J.C. Ryle")</f>
        <v xml:space="preserve"> J.C. Ryle</v>
      </c>
      <c r="C637" s="12" t="str">
        <f ca="1">IFERROR(__xludf.DUMMYFUNCTION("""COMPUTED_VALUE"""),"Expository Thoughts on John (Vol 1)")</f>
        <v>Expository Thoughts on John (Vol 1)</v>
      </c>
      <c r="D637" s="12"/>
      <c r="E637" s="12" t="str">
        <f ca="1">IFERROR(__xludf.DUMMYFUNCTION("""COMPUTED_VALUE"""),"Book")</f>
        <v>Book</v>
      </c>
      <c r="F637" s="12" t="str">
        <f ca="1">IFERROR(__xludf.DUMMYFUNCTION("""COMPUTED_VALUE"""),"Reference")</f>
        <v>Reference</v>
      </c>
      <c r="G637" s="12"/>
      <c r="H637" s="12"/>
      <c r="I637" s="12"/>
      <c r="J637" s="12"/>
      <c r="K637" s="13">
        <f ca="1">IFERROR(__xludf.DUMMYFUNCTION("""COMPUTED_VALUE"""),41287)</f>
        <v>41287</v>
      </c>
      <c r="L637" s="12"/>
      <c r="M637" s="12"/>
      <c r="N637" s="12" t="str">
        <f ca="1">IFERROR(__xludf.DUMMYFUNCTION("""COMPUTED_VALUE"""),"Table1")</f>
        <v>Table1</v>
      </c>
    </row>
    <row r="638" spans="1:14" ht="15.75" customHeight="1" x14ac:dyDescent="0.35">
      <c r="A638" s="12" t="str">
        <f ca="1">IFERROR(__xludf.DUMMYFUNCTION("""COMPUTED_VALUE"""),"Ryle, J.C.")</f>
        <v>Ryle, J.C.</v>
      </c>
      <c r="B638" s="12" t="str">
        <f ca="1">IFERROR(__xludf.DUMMYFUNCTION("""COMPUTED_VALUE""")," J.C. Ryle")</f>
        <v xml:space="preserve"> J.C. Ryle</v>
      </c>
      <c r="C638" s="12" t="str">
        <f ca="1">IFERROR(__xludf.DUMMYFUNCTION("""COMPUTED_VALUE"""),"Expository Thoughts on John (Vol 2)")</f>
        <v>Expository Thoughts on John (Vol 2)</v>
      </c>
      <c r="D638" s="12"/>
      <c r="E638" s="12" t="str">
        <f ca="1">IFERROR(__xludf.DUMMYFUNCTION("""COMPUTED_VALUE"""),"Book")</f>
        <v>Book</v>
      </c>
      <c r="F638" s="12" t="str">
        <f ca="1">IFERROR(__xludf.DUMMYFUNCTION("""COMPUTED_VALUE"""),"Reference")</f>
        <v>Reference</v>
      </c>
      <c r="G638" s="12"/>
      <c r="H638" s="12"/>
      <c r="I638" s="12"/>
      <c r="J638" s="12"/>
      <c r="K638" s="13">
        <f ca="1">IFERROR(__xludf.DUMMYFUNCTION("""COMPUTED_VALUE"""),40034)</f>
        <v>40034</v>
      </c>
      <c r="L638" s="12"/>
      <c r="M638" s="12"/>
      <c r="N638" s="12" t="str">
        <f ca="1">IFERROR(__xludf.DUMMYFUNCTION("""COMPUTED_VALUE"""),"Table1")</f>
        <v>Table1</v>
      </c>
    </row>
    <row r="639" spans="1:14" ht="15.75" customHeight="1" x14ac:dyDescent="0.35">
      <c r="A639" s="12" t="str">
        <f ca="1">IFERROR(__xludf.DUMMYFUNCTION("""COMPUTED_VALUE"""),"Ryle, J.C.")</f>
        <v>Ryle, J.C.</v>
      </c>
      <c r="B639" s="12" t="str">
        <f ca="1">IFERROR(__xludf.DUMMYFUNCTION("""COMPUTED_VALUE""")," J.C. Ryle")</f>
        <v xml:space="preserve"> J.C. Ryle</v>
      </c>
      <c r="C639" s="12" t="str">
        <f ca="1">IFERROR(__xludf.DUMMYFUNCTION("""COMPUTED_VALUE"""),"Expository Thoughts on John (Vol 3)")</f>
        <v>Expository Thoughts on John (Vol 3)</v>
      </c>
      <c r="D639" s="12"/>
      <c r="E639" s="12" t="str">
        <f ca="1">IFERROR(__xludf.DUMMYFUNCTION("""COMPUTED_VALUE"""),"Book")</f>
        <v>Book</v>
      </c>
      <c r="F639" s="12" t="str">
        <f ca="1">IFERROR(__xludf.DUMMYFUNCTION("""COMPUTED_VALUE"""),"Reference")</f>
        <v>Reference</v>
      </c>
      <c r="G639" s="12"/>
      <c r="H639" s="12"/>
      <c r="I639" s="12"/>
      <c r="J639" s="12"/>
      <c r="K639" s="13">
        <f ca="1">IFERROR(__xludf.DUMMYFUNCTION("""COMPUTED_VALUE"""),40308)</f>
        <v>40308</v>
      </c>
      <c r="L639" s="12"/>
      <c r="M639" s="12"/>
      <c r="N639" s="12" t="str">
        <f ca="1">IFERROR(__xludf.DUMMYFUNCTION("""COMPUTED_VALUE"""),"Table1")</f>
        <v>Table1</v>
      </c>
    </row>
    <row r="640" spans="1:14" ht="15.75" customHeight="1" x14ac:dyDescent="0.35">
      <c r="A640" s="12" t="str">
        <f ca="1">IFERROR(__xludf.DUMMYFUNCTION("""COMPUTED_VALUE"""),"Ryle, J.C.")</f>
        <v>Ryle, J.C.</v>
      </c>
      <c r="B640" s="12" t="str">
        <f ca="1">IFERROR(__xludf.DUMMYFUNCTION("""COMPUTED_VALUE""")," J.C. Ryle")</f>
        <v xml:space="preserve"> J.C. Ryle</v>
      </c>
      <c r="C640" s="12" t="str">
        <f ca="1">IFERROR(__xludf.DUMMYFUNCTION("""COMPUTED_VALUE"""),"Expository Thoughts on Luke (Pt. 1 &amp; 2)")</f>
        <v>Expository Thoughts on Luke (Pt. 1 &amp; 2)</v>
      </c>
      <c r="D640" s="12"/>
      <c r="E640" s="12" t="str">
        <f ca="1">IFERROR(__xludf.DUMMYFUNCTION("""COMPUTED_VALUE"""),"Book")</f>
        <v>Book</v>
      </c>
      <c r="F640" s="12" t="str">
        <f ca="1">IFERROR(__xludf.DUMMYFUNCTION("""COMPUTED_VALUE"""),"Reference")</f>
        <v>Reference</v>
      </c>
      <c r="G640" s="12"/>
      <c r="H640" s="12"/>
      <c r="I640" s="12"/>
      <c r="J640" s="12"/>
      <c r="K640" s="13">
        <f ca="1">IFERROR(__xludf.DUMMYFUNCTION("""COMPUTED_VALUE"""),40056)</f>
        <v>40056</v>
      </c>
      <c r="L640" s="12"/>
      <c r="M640" s="12"/>
      <c r="N640" s="12" t="str">
        <f ca="1">IFERROR(__xludf.DUMMYFUNCTION("""COMPUTED_VALUE"""),"Table1")</f>
        <v>Table1</v>
      </c>
    </row>
    <row r="641" spans="1:14" ht="15.75" customHeight="1" x14ac:dyDescent="0.35">
      <c r="A641" s="12" t="str">
        <f ca="1">IFERROR(__xludf.DUMMYFUNCTION("""COMPUTED_VALUE"""),"Ryle, J.C.")</f>
        <v>Ryle, J.C.</v>
      </c>
      <c r="B641" s="12" t="str">
        <f ca="1">IFERROR(__xludf.DUMMYFUNCTION("""COMPUTED_VALUE""")," J.C. Ryle")</f>
        <v xml:space="preserve"> J.C. Ryle</v>
      </c>
      <c r="C641" s="12" t="str">
        <f ca="1">IFERROR(__xludf.DUMMYFUNCTION("""COMPUTED_VALUE"""),"Expository Thoughts on Mark")</f>
        <v>Expository Thoughts on Mark</v>
      </c>
      <c r="D641" s="12"/>
      <c r="E641" s="12" t="str">
        <f ca="1">IFERROR(__xludf.DUMMYFUNCTION("""COMPUTED_VALUE"""),"Book")</f>
        <v>Book</v>
      </c>
      <c r="F641" s="12" t="str">
        <f ca="1">IFERROR(__xludf.DUMMYFUNCTION("""COMPUTED_VALUE"""),"Reference")</f>
        <v>Reference</v>
      </c>
      <c r="G641" s="12"/>
      <c r="H641" s="12"/>
      <c r="I641" s="12"/>
      <c r="J641" s="12"/>
      <c r="K641" s="13">
        <f ca="1">IFERROR(__xludf.DUMMYFUNCTION("""COMPUTED_VALUE"""),40055)</f>
        <v>40055</v>
      </c>
      <c r="L641" s="12"/>
      <c r="M641" s="12"/>
      <c r="N641" s="12" t="str">
        <f ca="1">IFERROR(__xludf.DUMMYFUNCTION("""COMPUTED_VALUE"""),"Table1")</f>
        <v>Table1</v>
      </c>
    </row>
    <row r="642" spans="1:14" ht="15.75" customHeight="1" x14ac:dyDescent="0.35">
      <c r="A642" s="12" t="str">
        <f ca="1">IFERROR(__xludf.DUMMYFUNCTION("""COMPUTED_VALUE"""),"Ryle, J.C.")</f>
        <v>Ryle, J.C.</v>
      </c>
      <c r="B642" s="12" t="str">
        <f ca="1">IFERROR(__xludf.DUMMYFUNCTION("""COMPUTED_VALUE""")," J.C. Ryle")</f>
        <v xml:space="preserve"> J.C. Ryle</v>
      </c>
      <c r="C642" s="12" t="str">
        <f ca="1">IFERROR(__xludf.DUMMYFUNCTION("""COMPUTED_VALUE"""),"Expository Thoughts on Matthew")</f>
        <v>Expository Thoughts on Matthew</v>
      </c>
      <c r="D642" s="12"/>
      <c r="E642" s="12" t="str">
        <f ca="1">IFERROR(__xludf.DUMMYFUNCTION("""COMPUTED_VALUE"""),"Book")</f>
        <v>Book</v>
      </c>
      <c r="F642" s="12" t="str">
        <f ca="1">IFERROR(__xludf.DUMMYFUNCTION("""COMPUTED_VALUE"""),"Reference")</f>
        <v>Reference</v>
      </c>
      <c r="G642" s="12"/>
      <c r="H642" s="12"/>
      <c r="I642" s="12"/>
      <c r="J642" s="12"/>
      <c r="K642" s="13">
        <f ca="1">IFERROR(__xludf.DUMMYFUNCTION("""COMPUTED_VALUE"""),40054)</f>
        <v>40054</v>
      </c>
      <c r="L642" s="12"/>
      <c r="M642" s="12"/>
      <c r="N642" s="12" t="str">
        <f ca="1">IFERROR(__xludf.DUMMYFUNCTION("""COMPUTED_VALUE"""),"Table1")</f>
        <v>Table1</v>
      </c>
    </row>
    <row r="643" spans="1:14" ht="15.75" customHeight="1" x14ac:dyDescent="0.35">
      <c r="A643" s="12" t="str">
        <f ca="1">IFERROR(__xludf.DUMMYFUNCTION("""COMPUTED_VALUE"""),"Ryle, J.C.")</f>
        <v>Ryle, J.C.</v>
      </c>
      <c r="B643" s="12" t="str">
        <f ca="1">IFERROR(__xludf.DUMMYFUNCTION("""COMPUTED_VALUE""")," J.C. Ryle")</f>
        <v xml:space="preserve"> J.C. Ryle</v>
      </c>
      <c r="C643" s="12" t="str">
        <f ca="1">IFERROR(__xludf.DUMMYFUNCTION("""COMPUTED_VALUE"""),"Holiness")</f>
        <v>Holiness</v>
      </c>
      <c r="D643" s="12"/>
      <c r="E643" s="12" t="str">
        <f ca="1">IFERROR(__xludf.DUMMYFUNCTION("""COMPUTED_VALUE"""),"Book")</f>
        <v>Book</v>
      </c>
      <c r="F643" s="12" t="str">
        <f ca="1">IFERROR(__xludf.DUMMYFUNCTION("""COMPUTED_VALUE"""),"Discipleship")</f>
        <v>Discipleship</v>
      </c>
      <c r="G643" s="12"/>
      <c r="H643" s="12"/>
      <c r="I643" s="12"/>
      <c r="J643" s="12"/>
      <c r="K643" s="13">
        <f ca="1">IFERROR(__xludf.DUMMYFUNCTION("""COMPUTED_VALUE"""),41102)</f>
        <v>41102</v>
      </c>
      <c r="L643" s="12"/>
      <c r="M643" s="12"/>
      <c r="N643" s="12" t="str">
        <f ca="1">IFERROR(__xludf.DUMMYFUNCTION("""COMPUTED_VALUE"""),"Table1")</f>
        <v>Table1</v>
      </c>
    </row>
    <row r="644" spans="1:14" ht="15.75" customHeight="1" x14ac:dyDescent="0.35">
      <c r="A644" s="12" t="str">
        <f ca="1">IFERROR(__xludf.DUMMYFUNCTION("""COMPUTED_VALUE"""),"Ryle, J.C.")</f>
        <v>Ryle, J.C.</v>
      </c>
      <c r="B644" s="12" t="str">
        <f ca="1">IFERROR(__xludf.DUMMYFUNCTION("""COMPUTED_VALUE""")," J.C. Ryle")</f>
        <v xml:space="preserve"> J.C. Ryle</v>
      </c>
      <c r="C644" s="12" t="str">
        <f ca="1">IFERROR(__xludf.DUMMYFUNCTION("""COMPUTED_VALUE"""),"Thoughts for Young Men")</f>
        <v>Thoughts for Young Men</v>
      </c>
      <c r="D644" s="12"/>
      <c r="E644" s="12" t="str">
        <f ca="1">IFERROR(__xludf.DUMMYFUNCTION("""COMPUTED_VALUE"""),"Book")</f>
        <v>Book</v>
      </c>
      <c r="F644" s="12" t="str">
        <f ca="1">IFERROR(__xludf.DUMMYFUNCTION("""COMPUTED_VALUE"""),"Discipleship")</f>
        <v>Discipleship</v>
      </c>
      <c r="G644" s="12"/>
      <c r="H644" s="12"/>
      <c r="I644" s="12"/>
      <c r="J644" s="12" t="str">
        <f ca="1">IFERROR(__xludf.DUMMYFUNCTION("""COMPUTED_VALUE"""),"Youth")</f>
        <v>Youth</v>
      </c>
      <c r="K644" s="13">
        <f ca="1">IFERROR(__xludf.DUMMYFUNCTION("""COMPUTED_VALUE"""),42966)</f>
        <v>42966</v>
      </c>
      <c r="L644" s="12"/>
      <c r="M644" s="12"/>
      <c r="N644" s="12" t="str">
        <f ca="1">IFERROR(__xludf.DUMMYFUNCTION("""COMPUTED_VALUE"""),"Table1")</f>
        <v>Table1</v>
      </c>
    </row>
    <row r="645" spans="1:14" ht="15.75" customHeight="1" x14ac:dyDescent="0.35">
      <c r="A645" s="12" t="str">
        <f ca="1">IFERROR(__xludf.DUMMYFUNCTION("""COMPUTED_VALUE"""),"Sande, Ken")</f>
        <v>Sande, Ken</v>
      </c>
      <c r="B645" s="12" t="str">
        <f ca="1">IFERROR(__xludf.DUMMYFUNCTION("""COMPUTED_VALUE""")," Ken Sande")</f>
        <v xml:space="preserve"> Ken Sande</v>
      </c>
      <c r="C645" s="12" t="str">
        <f ca="1">IFERROR(__xludf.DUMMYFUNCTION("""COMPUTED_VALUE"""),"The Peacemaker")</f>
        <v>The Peacemaker</v>
      </c>
      <c r="D645" s="12"/>
      <c r="E645" s="12" t="str">
        <f ca="1">IFERROR(__xludf.DUMMYFUNCTION("""COMPUTED_VALUE"""),"Book")</f>
        <v>Book</v>
      </c>
      <c r="F645" s="12" t="str">
        <f ca="1">IFERROR(__xludf.DUMMYFUNCTION("""COMPUTED_VALUE"""),"Understanding Mankind")</f>
        <v>Understanding Mankind</v>
      </c>
      <c r="G645" s="12"/>
      <c r="H645" s="12"/>
      <c r="I645" s="12"/>
      <c r="J645" s="12" t="str">
        <f ca="1">IFERROR(__xludf.DUMMYFUNCTION("""COMPUTED_VALUE"""),"Relationships, Conflict")</f>
        <v>Relationships, Conflict</v>
      </c>
      <c r="K645" s="13">
        <f ca="1">IFERROR(__xludf.DUMMYFUNCTION("""COMPUTED_VALUE"""),40035)</f>
        <v>40035</v>
      </c>
      <c r="L645" s="12"/>
      <c r="M645" s="12"/>
      <c r="N645" s="12" t="str">
        <f ca="1">IFERROR(__xludf.DUMMYFUNCTION("""COMPUTED_VALUE"""),"Table1")</f>
        <v>Table1</v>
      </c>
    </row>
    <row r="646" spans="1:14" ht="15.75" customHeight="1" x14ac:dyDescent="0.35">
      <c r="A646" s="12" t="str">
        <f ca="1">IFERROR(__xludf.DUMMYFUNCTION("""COMPUTED_VALUE"""),"Sande, Ken")</f>
        <v>Sande, Ken</v>
      </c>
      <c r="B646" s="12" t="str">
        <f ca="1">IFERROR(__xludf.DUMMYFUNCTION("""COMPUTED_VALUE""")," Ken Sande")</f>
        <v xml:space="preserve"> Ken Sande</v>
      </c>
      <c r="C646" s="12" t="str">
        <f ca="1">IFERROR(__xludf.DUMMYFUNCTION("""COMPUTED_VALUE"""),"Peacemaking for Families")</f>
        <v>Peacemaking for Families</v>
      </c>
      <c r="D646" s="12"/>
      <c r="E646" s="12" t="str">
        <f ca="1">IFERROR(__xludf.DUMMYFUNCTION("""COMPUTED_VALUE"""),"Book")</f>
        <v>Book</v>
      </c>
      <c r="F646" s="12" t="str">
        <f ca="1">IFERROR(__xludf.DUMMYFUNCTION("""COMPUTED_VALUE"""),"Understanding Mankind")</f>
        <v>Understanding Mankind</v>
      </c>
      <c r="G646" s="12"/>
      <c r="H646" s="12"/>
      <c r="I646" s="12"/>
      <c r="J646" s="12" t="str">
        <f ca="1">IFERROR(__xludf.DUMMYFUNCTION("""COMPUTED_VALUE"""),"Relationships, Family")</f>
        <v>Relationships, Family</v>
      </c>
      <c r="K646" s="13" t="str">
        <f ca="1">IFERROR(__xludf.DUMMYFUNCTION("""COMPUTED_VALUE"""),"?")</f>
        <v>?</v>
      </c>
      <c r="L646" s="12"/>
      <c r="M646" s="12"/>
      <c r="N646" s="12" t="str">
        <f ca="1">IFERROR(__xludf.DUMMYFUNCTION("""COMPUTED_VALUE"""),"Table1")</f>
        <v>Table1</v>
      </c>
    </row>
    <row r="647" spans="1:14" ht="15.75" customHeight="1" x14ac:dyDescent="0.35">
      <c r="A647" s="12" t="str">
        <f ca="1">IFERROR(__xludf.DUMMYFUNCTION("""COMPUTED_VALUE"""),"Sande, Ken")</f>
        <v>Sande, Ken</v>
      </c>
      <c r="B647" s="12" t="str">
        <f ca="1">IFERROR(__xludf.DUMMYFUNCTION("""COMPUTED_VALUE""")," Ken Sande")</f>
        <v xml:space="preserve"> Ken Sande</v>
      </c>
      <c r="C647" s="12" t="str">
        <f ca="1">IFERROR(__xludf.DUMMYFUNCTION("""COMPUTED_VALUE"""),"Resolving Everyday Conflict")</f>
        <v>Resolving Everyday Conflict</v>
      </c>
      <c r="D647" s="12"/>
      <c r="E647" s="12" t="str">
        <f ca="1">IFERROR(__xludf.DUMMYFUNCTION("""COMPUTED_VALUE"""),"Book")</f>
        <v>Book</v>
      </c>
      <c r="F647" s="12" t="str">
        <f ca="1">IFERROR(__xludf.DUMMYFUNCTION("""COMPUTED_VALUE"""),"Understanding Mankind")</f>
        <v>Understanding Mankind</v>
      </c>
      <c r="G647" s="12"/>
      <c r="H647" s="12"/>
      <c r="I647" s="12"/>
      <c r="J647" s="12" t="str">
        <f ca="1">IFERROR(__xludf.DUMMYFUNCTION("""COMPUTED_VALUE"""),"Relationships, Conflict")</f>
        <v>Relationships, Conflict</v>
      </c>
      <c r="K647" s="13">
        <f ca="1">IFERROR(__xludf.DUMMYFUNCTION("""COMPUTED_VALUE"""),41011)</f>
        <v>41011</v>
      </c>
      <c r="L647" s="12"/>
      <c r="M647" s="12"/>
      <c r="N647" s="12" t="str">
        <f ca="1">IFERROR(__xludf.DUMMYFUNCTION("""COMPUTED_VALUE"""),"Table1")</f>
        <v>Table1</v>
      </c>
    </row>
    <row r="648" spans="1:14" ht="15.75" customHeight="1" x14ac:dyDescent="0.35">
      <c r="A648" s="12" t="str">
        <f ca="1">IFERROR(__xludf.DUMMYFUNCTION("""COMPUTED_VALUE"""),"Sanders, J. Oswald")</f>
        <v>Sanders, J. Oswald</v>
      </c>
      <c r="B648" s="12" t="str">
        <f ca="1">IFERROR(__xludf.DUMMYFUNCTION("""COMPUTED_VALUE""")," J. Oswald Sanders")</f>
        <v xml:space="preserve"> J. Oswald Sanders</v>
      </c>
      <c r="C648" s="12" t="str">
        <f ca="1">IFERROR(__xludf.DUMMYFUNCTION("""COMPUTED_VALUE"""),"The Incomparable Christ")</f>
        <v>The Incomparable Christ</v>
      </c>
      <c r="D648" s="12"/>
      <c r="E648" s="12" t="str">
        <f ca="1">IFERROR(__xludf.DUMMYFUNCTION("""COMPUTED_VALUE"""),"Book")</f>
        <v>Book</v>
      </c>
      <c r="F648" s="12" t="str">
        <f ca="1">IFERROR(__xludf.DUMMYFUNCTION("""COMPUTED_VALUE"""),"Theology")</f>
        <v>Theology</v>
      </c>
      <c r="G648" s="12"/>
      <c r="H648" s="12"/>
      <c r="I648" s="12"/>
      <c r="J648" s="12"/>
      <c r="K648" s="13">
        <f ca="1">IFERROR(__xludf.DUMMYFUNCTION("""COMPUTED_VALUE"""),40036)</f>
        <v>40036</v>
      </c>
      <c r="L648" s="12"/>
      <c r="M648" s="12"/>
      <c r="N648" s="12" t="str">
        <f ca="1">IFERROR(__xludf.DUMMYFUNCTION("""COMPUTED_VALUE"""),"Table1")</f>
        <v>Table1</v>
      </c>
    </row>
    <row r="649" spans="1:14" ht="15.75" customHeight="1" x14ac:dyDescent="0.35">
      <c r="A649" s="12" t="str">
        <f ca="1">IFERROR(__xludf.DUMMYFUNCTION("""COMPUTED_VALUE"""),"Sanders, J. Oswald")</f>
        <v>Sanders, J. Oswald</v>
      </c>
      <c r="B649" s="12" t="str">
        <f ca="1">IFERROR(__xludf.DUMMYFUNCTION("""COMPUTED_VALUE""")," J. Oswald Sanders")</f>
        <v xml:space="preserve"> J. Oswald Sanders</v>
      </c>
      <c r="C649" s="12" t="str">
        <f ca="1">IFERROR(__xludf.DUMMYFUNCTION("""COMPUTED_VALUE"""),"Spiritual Leadership")</f>
        <v>Spiritual Leadership</v>
      </c>
      <c r="D649" s="12"/>
      <c r="E649" s="12" t="str">
        <f ca="1">IFERROR(__xludf.DUMMYFUNCTION("""COMPUTED_VALUE"""),"Book")</f>
        <v>Book</v>
      </c>
      <c r="F649" s="12" t="str">
        <f ca="1">IFERROR(__xludf.DUMMYFUNCTION("""COMPUTED_VALUE"""),"Discipleship")</f>
        <v>Discipleship</v>
      </c>
      <c r="G649" s="12"/>
      <c r="H649" s="12"/>
      <c r="I649" s="12"/>
      <c r="J649" s="12" t="str">
        <f ca="1">IFERROR(__xludf.DUMMYFUNCTION("""COMPUTED_VALUE"""),"Church Leaders")</f>
        <v>Church Leaders</v>
      </c>
      <c r="K649" s="13">
        <f ca="1">IFERROR(__xludf.DUMMYFUNCTION("""COMPUTED_VALUE"""),40037)</f>
        <v>40037</v>
      </c>
      <c r="L649" s="12"/>
      <c r="M649" s="12"/>
      <c r="N649" s="12" t="str">
        <f ca="1">IFERROR(__xludf.DUMMYFUNCTION("""COMPUTED_VALUE"""),"Table1")</f>
        <v>Table1</v>
      </c>
    </row>
    <row r="650" spans="1:14" ht="15.75" customHeight="1" x14ac:dyDescent="0.35">
      <c r="A650" s="12" t="str">
        <f ca="1">IFERROR(__xludf.DUMMYFUNCTION("""COMPUTED_VALUE"""),"Saucy, Robert L.")</f>
        <v>Saucy, Robert L.</v>
      </c>
      <c r="B650" s="12" t="str">
        <f ca="1">IFERROR(__xludf.DUMMYFUNCTION("""COMPUTED_VALUE""")," Robert L. Saucy")</f>
        <v xml:space="preserve"> Robert L. Saucy</v>
      </c>
      <c r="C650" s="12" t="str">
        <f ca="1">IFERROR(__xludf.DUMMYFUNCTION("""COMPUTED_VALUE"""),"The Church in God's Program")</f>
        <v>The Church in God's Program</v>
      </c>
      <c r="D650" s="12"/>
      <c r="E650" s="12" t="str">
        <f ca="1">IFERROR(__xludf.DUMMYFUNCTION("""COMPUTED_VALUE"""),"Book")</f>
        <v>Book</v>
      </c>
      <c r="F650" s="12" t="str">
        <f ca="1">IFERROR(__xludf.DUMMYFUNCTION("""COMPUTED_VALUE"""),"Church")</f>
        <v>Church</v>
      </c>
      <c r="G650" s="12"/>
      <c r="H650" s="12"/>
      <c r="I650" s="12"/>
      <c r="J650" s="12"/>
      <c r="K650" s="13">
        <f ca="1">IFERROR(__xludf.DUMMYFUNCTION("""COMPUTED_VALUE"""),40038)</f>
        <v>40038</v>
      </c>
      <c r="L650" s="12"/>
      <c r="M650" s="12"/>
      <c r="N650" s="12" t="str">
        <f ca="1">IFERROR(__xludf.DUMMYFUNCTION("""COMPUTED_VALUE"""),"Table1")</f>
        <v>Table1</v>
      </c>
    </row>
    <row r="651" spans="1:14" ht="15.75" customHeight="1" x14ac:dyDescent="0.35">
      <c r="A651" s="12" t="str">
        <f ca="1">IFERROR(__xludf.DUMMYFUNCTION("""COMPUTED_VALUE"""),"Schaeffer, Francis A.")</f>
        <v>Schaeffer, Francis A.</v>
      </c>
      <c r="B651" s="12" t="str">
        <f ca="1">IFERROR(__xludf.DUMMYFUNCTION("""COMPUTED_VALUE""")," Francis A. Schaeffer")</f>
        <v xml:space="preserve"> Francis A. Schaeffer</v>
      </c>
      <c r="C651" s="12" t="str">
        <f ca="1">IFERROR(__xludf.DUMMYFUNCTION("""COMPUTED_VALUE"""),"Francis Schaeffer Trilogy (Escape from Reason, The God Who Is There, He Is There and He Is Not Silent)")</f>
        <v>Francis Schaeffer Trilogy (Escape from Reason, The God Who Is There, He Is There and He Is Not Silent)</v>
      </c>
      <c r="D651" s="12"/>
      <c r="E651" s="12" t="str">
        <f ca="1">IFERROR(__xludf.DUMMYFUNCTION("""COMPUTED_VALUE"""),"Book")</f>
        <v>Book</v>
      </c>
      <c r="F651" s="12" t="str">
        <f ca="1">IFERROR(__xludf.DUMMYFUNCTION("""COMPUTED_VALUE"""),"Worldview")</f>
        <v>Worldview</v>
      </c>
      <c r="G651" s="12"/>
      <c r="H651" s="12"/>
      <c r="I651" s="12"/>
      <c r="J651" s="12" t="str">
        <f ca="1">IFERROR(__xludf.DUMMYFUNCTION("""COMPUTED_VALUE"""),"Apologetics")</f>
        <v>Apologetics</v>
      </c>
      <c r="K651" s="13">
        <f ca="1">IFERROR(__xludf.DUMMYFUNCTION("""COMPUTED_VALUE"""),40039)</f>
        <v>40039</v>
      </c>
      <c r="L651" s="12"/>
      <c r="M651" s="12"/>
      <c r="N651" s="12" t="str">
        <f ca="1">IFERROR(__xludf.DUMMYFUNCTION("""COMPUTED_VALUE"""),"Table1")</f>
        <v>Table1</v>
      </c>
    </row>
    <row r="652" spans="1:14" ht="15.75" customHeight="1" x14ac:dyDescent="0.35">
      <c r="A652" s="12" t="str">
        <f ca="1">IFERROR(__xludf.DUMMYFUNCTION("""COMPUTED_VALUE"""),"Schaeffer, Francis A.")</f>
        <v>Schaeffer, Francis A.</v>
      </c>
      <c r="B652" s="12" t="str">
        <f ca="1">IFERROR(__xludf.DUMMYFUNCTION("""COMPUTED_VALUE""")," Francis A. Schaeffer")</f>
        <v xml:space="preserve"> Francis A. Schaeffer</v>
      </c>
      <c r="C652" s="12" t="str">
        <f ca="1">IFERROR(__xludf.DUMMYFUNCTION("""COMPUTED_VALUE"""),"The Great Evangelical Disaster")</f>
        <v>The Great Evangelical Disaster</v>
      </c>
      <c r="D652" s="12"/>
      <c r="E652" s="12" t="str">
        <f ca="1">IFERROR(__xludf.DUMMYFUNCTION("""COMPUTED_VALUE"""),"Book")</f>
        <v>Book</v>
      </c>
      <c r="F652" s="12" t="str">
        <f ca="1">IFERROR(__xludf.DUMMYFUNCTION("""COMPUTED_VALUE"""),"Worldview")</f>
        <v>Worldview</v>
      </c>
      <c r="G652" s="12"/>
      <c r="H652" s="12"/>
      <c r="I652" s="12"/>
      <c r="J652" s="12" t="str">
        <f ca="1">IFERROR(__xludf.DUMMYFUNCTION("""COMPUTED_VALUE"""),"Church, Culture")</f>
        <v>Church, Culture</v>
      </c>
      <c r="K652" s="13">
        <f ca="1">IFERROR(__xludf.DUMMYFUNCTION("""COMPUTED_VALUE"""),40026)</f>
        <v>40026</v>
      </c>
      <c r="L652" s="12"/>
      <c r="M652" s="12"/>
      <c r="N652" s="12" t="str">
        <f ca="1">IFERROR(__xludf.DUMMYFUNCTION("""COMPUTED_VALUE"""),"Table1")</f>
        <v>Table1</v>
      </c>
    </row>
    <row r="653" spans="1:14" ht="15.75" customHeight="1" x14ac:dyDescent="0.35">
      <c r="A653" s="12" t="str">
        <f ca="1">IFERROR(__xludf.DUMMYFUNCTION("""COMPUTED_VALUE"""),"Schaeffer, Francis A.")</f>
        <v>Schaeffer, Francis A.</v>
      </c>
      <c r="B653" s="12" t="str">
        <f ca="1">IFERROR(__xludf.DUMMYFUNCTION("""COMPUTED_VALUE""")," Francis A. Schaeffer")</f>
        <v xml:space="preserve"> Francis A. Schaeffer</v>
      </c>
      <c r="C653" s="12" t="str">
        <f ca="1">IFERROR(__xludf.DUMMYFUNCTION("""COMPUTED_VALUE"""),"How Should We Then Live?")</f>
        <v>How Should We Then Live?</v>
      </c>
      <c r="D653" s="12"/>
      <c r="E653" s="12" t="str">
        <f ca="1">IFERROR(__xludf.DUMMYFUNCTION("""COMPUTED_VALUE"""),"Book")</f>
        <v>Book</v>
      </c>
      <c r="F653" s="12" t="str">
        <f ca="1">IFERROR(__xludf.DUMMYFUNCTION("""COMPUTED_VALUE"""),"Worldview")</f>
        <v>Worldview</v>
      </c>
      <c r="G653" s="12"/>
      <c r="H653" s="12"/>
      <c r="I653" s="12"/>
      <c r="J653" s="12" t="str">
        <f ca="1">IFERROR(__xludf.DUMMYFUNCTION("""COMPUTED_VALUE"""),"History, Apologetics")</f>
        <v>History, Apologetics</v>
      </c>
      <c r="K653" s="13">
        <f ca="1">IFERROR(__xludf.DUMMYFUNCTION("""COMPUTED_VALUE"""),40041)</f>
        <v>40041</v>
      </c>
      <c r="L653" s="12"/>
      <c r="M653" s="12"/>
      <c r="N653" s="12" t="str">
        <f ca="1">IFERROR(__xludf.DUMMYFUNCTION("""COMPUTED_VALUE"""),"Table1")</f>
        <v>Table1</v>
      </c>
    </row>
    <row r="654" spans="1:14" ht="15.75" customHeight="1" x14ac:dyDescent="0.35">
      <c r="A654" s="12" t="str">
        <f ca="1">IFERROR(__xludf.DUMMYFUNCTION("""COMPUTED_VALUE"""),"Schreiner, Patrick")</f>
        <v>Schreiner, Patrick</v>
      </c>
      <c r="B654" s="12" t="str">
        <f ca="1">IFERROR(__xludf.DUMMYFUNCTION("""COMPUTED_VALUE""")," Patrick Schreiner")</f>
        <v xml:space="preserve"> Patrick Schreiner</v>
      </c>
      <c r="C654" s="12" t="str">
        <f ca="1">IFERROR(__xludf.DUMMYFUNCTION("""COMPUTED_VALUE"""),"The Kingdom of God and the Glory of the Cross")</f>
        <v>The Kingdom of God and the Glory of the Cross</v>
      </c>
      <c r="D654" s="12"/>
      <c r="E654" s="12" t="str">
        <f ca="1">IFERROR(__xludf.DUMMYFUNCTION("""COMPUTED_VALUE"""),"Book")</f>
        <v>Book</v>
      </c>
      <c r="F654" s="12" t="str">
        <f ca="1">IFERROR(__xludf.DUMMYFUNCTION("""COMPUTED_VALUE"""),"Theology")</f>
        <v>Theology</v>
      </c>
      <c r="G654" s="12"/>
      <c r="H654" s="12"/>
      <c r="I654" s="12"/>
      <c r="J654" s="12"/>
      <c r="K654" s="13"/>
      <c r="L654" s="12"/>
      <c r="M654" s="12"/>
      <c r="N654" s="12" t="str">
        <f ca="1">IFERROR(__xludf.DUMMYFUNCTION("""COMPUTED_VALUE"""),"Table1")</f>
        <v>Table1</v>
      </c>
    </row>
    <row r="655" spans="1:14" ht="15.75" customHeight="1" x14ac:dyDescent="0.35">
      <c r="A655" s="12" t="str">
        <f ca="1">IFERROR(__xludf.DUMMYFUNCTION("""COMPUTED_VALUE"""),"Schreiner, Thomas R.")</f>
        <v>Schreiner, Thomas R.</v>
      </c>
      <c r="B655" s="12" t="str">
        <f ca="1">IFERROR(__xludf.DUMMYFUNCTION("""COMPUTED_VALUE""")," Thomas R. Schreiner")</f>
        <v xml:space="preserve"> Thomas R. Schreiner</v>
      </c>
      <c r="C655" s="12" t="str">
        <f ca="1">IFERROR(__xludf.DUMMYFUNCTION("""COMPUTED_VALUE"""),"Faith Alone: The Doctrine of Justification")</f>
        <v>Faith Alone: The Doctrine of Justification</v>
      </c>
      <c r="D655" s="12" t="str">
        <f ca="1">IFERROR(__xludf.DUMMYFUNCTION("""COMPUTED_VALUE"""),"5 Solas")</f>
        <v>5 Solas</v>
      </c>
      <c r="E655" s="12" t="str">
        <f ca="1">IFERROR(__xludf.DUMMYFUNCTION("""COMPUTED_VALUE"""),"Book")</f>
        <v>Book</v>
      </c>
      <c r="F655" s="12" t="str">
        <f ca="1">IFERROR(__xludf.DUMMYFUNCTION("""COMPUTED_VALUE"""),"Theology")</f>
        <v>Theology</v>
      </c>
      <c r="G655" s="12"/>
      <c r="H655" s="12"/>
      <c r="I655" s="12"/>
      <c r="J655" s="12"/>
      <c r="K655" s="13">
        <f ca="1">IFERROR(__xludf.DUMMYFUNCTION("""COMPUTED_VALUE"""),43095)</f>
        <v>43095</v>
      </c>
      <c r="L655" s="12"/>
      <c r="M655" s="12"/>
      <c r="N655" s="12" t="str">
        <f ca="1">IFERROR(__xludf.DUMMYFUNCTION("""COMPUTED_VALUE"""),"Table1")</f>
        <v>Table1</v>
      </c>
    </row>
    <row r="656" spans="1:14" ht="15.75" customHeight="1" x14ac:dyDescent="0.35">
      <c r="A656" s="12" t="str">
        <f ca="1">IFERROR(__xludf.DUMMYFUNCTION("""COMPUTED_VALUE"""),"Schreiner, Thomas R.; Kostenberger, Andreas")</f>
        <v>Schreiner, Thomas R.; Kostenberger, Andreas</v>
      </c>
      <c r="B656" s="12" t="str">
        <f ca="1">IFERROR(__xludf.DUMMYFUNCTION("""COMPUTED_VALUE""")," Thomas R. Schreiner; Andreas Kostenberger")</f>
        <v xml:space="preserve"> Thomas R. Schreiner; Andreas Kostenberger</v>
      </c>
      <c r="C656" s="12" t="str">
        <f ca="1">IFERROR(__xludf.DUMMYFUNCTION("""COMPUTED_VALUE"""),"Women in the Church")</f>
        <v>Women in the Church</v>
      </c>
      <c r="D656" s="12" t="str">
        <f ca="1">IFERROR(__xludf.DUMMYFUNCTION("""COMPUTED_VALUE"""),"Kostenberger")</f>
        <v>Kostenberger</v>
      </c>
      <c r="E656" s="12" t="str">
        <f ca="1">IFERROR(__xludf.DUMMYFUNCTION("""COMPUTED_VALUE"""),"Book")</f>
        <v>Book</v>
      </c>
      <c r="F656" s="12" t="str">
        <f ca="1">IFERROR(__xludf.DUMMYFUNCTION("""COMPUTED_VALUE"""),"Understanding Mankind")</f>
        <v>Understanding Mankind</v>
      </c>
      <c r="G656" s="12"/>
      <c r="H656" s="12"/>
      <c r="I656" s="12"/>
      <c r="J656" s="12" t="str">
        <f ca="1">IFERROR(__xludf.DUMMYFUNCTION("""COMPUTED_VALUE"""),"Christian Women")</f>
        <v>Christian Women</v>
      </c>
      <c r="K656" s="13">
        <f ca="1">IFERROR(__xludf.DUMMYFUNCTION("""COMPUTED_VALUE"""),42511)</f>
        <v>42511</v>
      </c>
      <c r="L656" s="12"/>
      <c r="M656" s="12"/>
      <c r="N656" s="12" t="str">
        <f ca="1">IFERROR(__xludf.DUMMYFUNCTION("""COMPUTED_VALUE"""),"Table1")</f>
        <v>Table1</v>
      </c>
    </row>
    <row r="657" spans="1:14" ht="15.75" customHeight="1" x14ac:dyDescent="0.35">
      <c r="A657" s="12" t="str">
        <f ca="1">IFERROR(__xludf.DUMMYFUNCTION("""COMPUTED_VALUE"""),"Selvaggio, Anthony")</f>
        <v>Selvaggio, Anthony</v>
      </c>
      <c r="B657" s="12" t="str">
        <f ca="1">IFERROR(__xludf.DUMMYFUNCTION("""COMPUTED_VALUE""")," Anthony Selvaggio")</f>
        <v xml:space="preserve"> Anthony Selvaggio</v>
      </c>
      <c r="C657" s="12" t="str">
        <f ca="1">IFERROR(__xludf.DUMMYFUNCTION("""COMPUTED_VALUE"""),"7 Toxic Ideas Polluting Your Mind")</f>
        <v>7 Toxic Ideas Polluting Your Mind</v>
      </c>
      <c r="D657" s="12"/>
      <c r="E657" s="12" t="str">
        <f ca="1">IFERROR(__xludf.DUMMYFUNCTION("""COMPUTED_VALUE"""),"Book")</f>
        <v>Book</v>
      </c>
      <c r="F657" s="12" t="str">
        <f ca="1">IFERROR(__xludf.DUMMYFUNCTION("""COMPUTED_VALUE"""),"Worldview")</f>
        <v>Worldview</v>
      </c>
      <c r="G657" s="12"/>
      <c r="H657" s="12"/>
      <c r="I657" s="12"/>
      <c r="J657" s="12" t="str">
        <f ca="1">IFERROR(__xludf.DUMMYFUNCTION("""COMPUTED_VALUE"""),"Culture, Secularism")</f>
        <v>Culture, Secularism</v>
      </c>
      <c r="K657" s="13">
        <f ca="1">IFERROR(__xludf.DUMMYFUNCTION("""COMPUTED_VALUE"""),41102)</f>
        <v>41102</v>
      </c>
      <c r="L657" s="12"/>
      <c r="M657" s="12"/>
      <c r="N657" s="12" t="str">
        <f ca="1">IFERROR(__xludf.DUMMYFUNCTION("""COMPUTED_VALUE"""),"Table1")</f>
        <v>Table1</v>
      </c>
    </row>
    <row r="658" spans="1:14" ht="15.75" customHeight="1" x14ac:dyDescent="0.35">
      <c r="A658" s="12" t="str">
        <f ca="1">IFERROR(__xludf.DUMMYFUNCTION("""COMPUTED_VALUE"""),"Shaw, Ian J")</f>
        <v>Shaw, Ian J</v>
      </c>
      <c r="B658" s="12" t="str">
        <f ca="1">IFERROR(__xludf.DUMMYFUNCTION("""COMPUTED_VALUE""")," Ian J Shaw")</f>
        <v xml:space="preserve"> Ian J Shaw</v>
      </c>
      <c r="C658" s="12" t="str">
        <f ca="1">IFERROR(__xludf.DUMMYFUNCTION("""COMPUTED_VALUE"""),"Churches, Revolutions &amp; Empires 1789-1914")</f>
        <v>Churches, Revolutions &amp; Empires 1789-1914</v>
      </c>
      <c r="D658" s="12"/>
      <c r="E658" s="12" t="str">
        <f ca="1">IFERROR(__xludf.DUMMYFUNCTION("""COMPUTED_VALUE"""),"Book")</f>
        <v>Book</v>
      </c>
      <c r="F658" s="12" t="str">
        <f ca="1">IFERROR(__xludf.DUMMYFUNCTION("""COMPUTED_VALUE"""),"Church History")</f>
        <v>Church History</v>
      </c>
      <c r="G658" s="12"/>
      <c r="H658" s="12"/>
      <c r="I658" s="12"/>
      <c r="J658" s="12" t="str">
        <f ca="1">IFERROR(__xludf.DUMMYFUNCTION("""COMPUTED_VALUE"""),"History")</f>
        <v>History</v>
      </c>
      <c r="K658" s="13">
        <f ca="1">IFERROR(__xludf.DUMMYFUNCTION("""COMPUTED_VALUE"""),41468)</f>
        <v>41468</v>
      </c>
      <c r="L658" s="12"/>
      <c r="M658" s="12"/>
      <c r="N658" s="12" t="str">
        <f ca="1">IFERROR(__xludf.DUMMYFUNCTION("""COMPUTED_VALUE"""),"Table1")</f>
        <v>Table1</v>
      </c>
    </row>
    <row r="659" spans="1:14" ht="15.75" customHeight="1" x14ac:dyDescent="0.35">
      <c r="A659" s="12" t="str">
        <f ca="1">IFERROR(__xludf.DUMMYFUNCTION("""COMPUTED_VALUE"""),"Sibbes, Richard")</f>
        <v>Sibbes, Richard</v>
      </c>
      <c r="B659" s="12" t="str">
        <f ca="1">IFERROR(__xludf.DUMMYFUNCTION("""COMPUTED_VALUE""")," Richard Sibbes")</f>
        <v xml:space="preserve"> Richard Sibbes</v>
      </c>
      <c r="C659" s="12" t="str">
        <f ca="1">IFERROR(__xludf.DUMMYFUNCTION("""COMPUTED_VALUE"""),"The Bruised Reed")</f>
        <v>The Bruised Reed</v>
      </c>
      <c r="D659" s="12"/>
      <c r="E659" s="12" t="str">
        <f ca="1">IFERROR(__xludf.DUMMYFUNCTION("""COMPUTED_VALUE"""),"Book")</f>
        <v>Book</v>
      </c>
      <c r="F659" s="12" t="str">
        <f ca="1">IFERROR(__xludf.DUMMYFUNCTION("""COMPUTED_VALUE"""),"Theology")</f>
        <v>Theology</v>
      </c>
      <c r="G659" s="12"/>
      <c r="H659" s="12" t="str">
        <f ca="1">IFERROR(__xludf.DUMMYFUNCTION("""COMPUTED_VALUE"""),"Puritans")</f>
        <v>Puritans</v>
      </c>
      <c r="I659" s="12"/>
      <c r="J659" s="12"/>
      <c r="K659" s="13">
        <f ca="1">IFERROR(__xludf.DUMMYFUNCTION("""COMPUTED_VALUE"""),43046)</f>
        <v>43046</v>
      </c>
      <c r="L659" s="12"/>
      <c r="M659" s="12"/>
      <c r="N659" s="12" t="str">
        <f ca="1">IFERROR(__xludf.DUMMYFUNCTION("""COMPUTED_VALUE"""),"Table1")</f>
        <v>Table1</v>
      </c>
    </row>
    <row r="660" spans="1:14" ht="15.75" customHeight="1" x14ac:dyDescent="0.35">
      <c r="A660" s="12" t="str">
        <f ca="1">IFERROR(__xludf.DUMMYFUNCTION("""COMPUTED_VALUE"""),"Sire, James W")</f>
        <v>Sire, James W</v>
      </c>
      <c r="B660" s="12" t="str">
        <f ca="1">IFERROR(__xludf.DUMMYFUNCTION("""COMPUTED_VALUE""")," James W Sire")</f>
        <v xml:space="preserve"> James W Sire</v>
      </c>
      <c r="C660" s="12" t="str">
        <f ca="1">IFERROR(__xludf.DUMMYFUNCTION("""COMPUTED_VALUE"""),"The Universe Next Door: A Basic Worldview Catalog")</f>
        <v>The Universe Next Door: A Basic Worldview Catalog</v>
      </c>
      <c r="D660" s="12"/>
      <c r="E660" s="12" t="str">
        <f ca="1">IFERROR(__xludf.DUMMYFUNCTION("""COMPUTED_VALUE"""),"Book")</f>
        <v>Book</v>
      </c>
      <c r="F660" s="12" t="str">
        <f ca="1">IFERROR(__xludf.DUMMYFUNCTION("""COMPUTED_VALUE"""),"Worldview")</f>
        <v>Worldview</v>
      </c>
      <c r="G660" s="12"/>
      <c r="H660" s="12"/>
      <c r="I660" s="12"/>
      <c r="J660" s="12"/>
      <c r="K660" s="13">
        <f ca="1">IFERROR(__xludf.DUMMYFUNCTION("""COMPUTED_VALUE"""),41773)</f>
        <v>41773</v>
      </c>
      <c r="L660" s="12"/>
      <c r="M660" s="12"/>
      <c r="N660" s="12" t="str">
        <f ca="1">IFERROR(__xludf.DUMMYFUNCTION("""COMPUTED_VALUE"""),"Table1")</f>
        <v>Table1</v>
      </c>
    </row>
    <row r="661" spans="1:14" ht="15.75" customHeight="1" x14ac:dyDescent="0.35">
      <c r="A661" s="12" t="str">
        <f ca="1">IFERROR(__xludf.DUMMYFUNCTION("""COMPUTED_VALUE"""),"Smallman, Stephen")</f>
        <v>Smallman, Stephen</v>
      </c>
      <c r="B661" s="12" t="str">
        <f ca="1">IFERROR(__xludf.DUMMYFUNCTION("""COMPUTED_VALUE""")," Stephen Smallman")</f>
        <v xml:space="preserve"> Stephen Smallman</v>
      </c>
      <c r="C661" s="12" t="str">
        <f ca="1">IFERROR(__xludf.DUMMYFUNCTION("""COMPUTED_VALUE"""),"The Walk")</f>
        <v>The Walk</v>
      </c>
      <c r="D661" s="12"/>
      <c r="E661" s="12" t="str">
        <f ca="1">IFERROR(__xludf.DUMMYFUNCTION("""COMPUTED_VALUE"""),"Book")</f>
        <v>Book</v>
      </c>
      <c r="F661" s="12" t="str">
        <f ca="1">IFERROR(__xludf.DUMMYFUNCTION("""COMPUTED_VALUE"""),"Discipleship")</f>
        <v>Discipleship</v>
      </c>
      <c r="G661" s="12"/>
      <c r="H661" s="12"/>
      <c r="I661" s="12"/>
      <c r="J661" s="12"/>
      <c r="K661" s="13">
        <f ca="1">IFERROR(__xludf.DUMMYFUNCTION("""COMPUTED_VALUE"""),41773)</f>
        <v>41773</v>
      </c>
      <c r="L661" s="12"/>
      <c r="M661" s="12"/>
      <c r="N661" s="12" t="str">
        <f ca="1">IFERROR(__xludf.DUMMYFUNCTION("""COMPUTED_VALUE"""),"Table1")</f>
        <v>Table1</v>
      </c>
    </row>
    <row r="662" spans="1:14" ht="15.75" customHeight="1" x14ac:dyDescent="0.35">
      <c r="A662" s="12" t="str">
        <f ca="1">IFERROR(__xludf.DUMMYFUNCTION("""COMPUTED_VALUE"""),"Smethurst, Matt")</f>
        <v>Smethurst, Matt</v>
      </c>
      <c r="B662" s="12" t="str">
        <f ca="1">IFERROR(__xludf.DUMMYFUNCTION("""COMPUTED_VALUE""")," Matt Smethurst")</f>
        <v xml:space="preserve"> Matt Smethurst</v>
      </c>
      <c r="C662" s="12" t="str">
        <f ca="1">IFERROR(__xludf.DUMMYFUNCTION("""COMPUTED_VALUE"""),"Before You Open Your Bible: Nine Heart Postures for Approaching God's Word")</f>
        <v>Before You Open Your Bible: Nine Heart Postures for Approaching God's Word</v>
      </c>
      <c r="D662" s="12"/>
      <c r="E662" s="12" t="str">
        <f ca="1">IFERROR(__xludf.DUMMYFUNCTION("""COMPUTED_VALUE"""),"Book")</f>
        <v>Book</v>
      </c>
      <c r="F662" s="12" t="str">
        <f ca="1">IFERROR(__xludf.DUMMYFUNCTION("""COMPUTED_VALUE"""),"Bible")</f>
        <v>Bible</v>
      </c>
      <c r="G662" s="12"/>
      <c r="H662" s="12"/>
      <c r="I662" s="12"/>
      <c r="J662" s="12"/>
      <c r="K662" s="13">
        <f ca="1">IFERROR(__xludf.DUMMYFUNCTION("""COMPUTED_VALUE"""),44772)</f>
        <v>44772</v>
      </c>
      <c r="L662" s="12"/>
      <c r="M662" s="12"/>
      <c r="N662" s="12" t="str">
        <f ca="1">IFERROR(__xludf.DUMMYFUNCTION("""COMPUTED_VALUE"""),"Table1")</f>
        <v>Table1</v>
      </c>
    </row>
    <row r="663" spans="1:14" ht="15.75" customHeight="1" x14ac:dyDescent="0.35">
      <c r="A663" s="12" t="str">
        <f ca="1">IFERROR(__xludf.DUMMYFUNCTION("""COMPUTED_VALUE"""),"Smethurst, Matt")</f>
        <v>Smethurst, Matt</v>
      </c>
      <c r="B663" s="12" t="str">
        <f ca="1">IFERROR(__xludf.DUMMYFUNCTION("""COMPUTED_VALUE""")," Matt Smethurst")</f>
        <v xml:space="preserve"> Matt Smethurst</v>
      </c>
      <c r="C663" s="12" t="str">
        <f ca="1">IFERROR(__xludf.DUMMYFUNCTION("""COMPUTED_VALUE"""),"Before You Share Your Faith: Five Ways to Be Evangelism Ready")</f>
        <v>Before You Share Your Faith: Five Ways to Be Evangelism Ready</v>
      </c>
      <c r="D663" s="12"/>
      <c r="E663" s="12" t="str">
        <f ca="1">IFERROR(__xludf.DUMMYFUNCTION("""COMPUTED_VALUE"""),"Book")</f>
        <v>Book</v>
      </c>
      <c r="F663" s="12" t="str">
        <f ca="1">IFERROR(__xludf.DUMMYFUNCTION("""COMPUTED_VALUE"""),"Salvation")</f>
        <v>Salvation</v>
      </c>
      <c r="G663" s="12"/>
      <c r="H663" s="12"/>
      <c r="I663" s="12"/>
      <c r="J663" s="12" t="str">
        <f ca="1">IFERROR(__xludf.DUMMYFUNCTION("""COMPUTED_VALUE"""),"Evangelism")</f>
        <v>Evangelism</v>
      </c>
      <c r="K663" s="13">
        <f ca="1">IFERROR(__xludf.DUMMYFUNCTION("""COMPUTED_VALUE"""),44772)</f>
        <v>44772</v>
      </c>
      <c r="L663" s="12"/>
      <c r="M663" s="12"/>
      <c r="N663" s="12" t="str">
        <f ca="1">IFERROR(__xludf.DUMMYFUNCTION("""COMPUTED_VALUE"""),"Table1")</f>
        <v>Table1</v>
      </c>
    </row>
    <row r="664" spans="1:14" ht="15.75" customHeight="1" x14ac:dyDescent="0.35">
      <c r="A664" s="12" t="str">
        <f ca="1">IFERROR(__xludf.DUMMYFUNCTION("""COMPUTED_VALUE"""),"Smith, J.C.")</f>
        <v>Smith, J.C.</v>
      </c>
      <c r="B664" s="12" t="str">
        <f ca="1">IFERROR(__xludf.DUMMYFUNCTION("""COMPUTED_VALUE""")," J.C. Smith")</f>
        <v xml:space="preserve"> J.C. Smith</v>
      </c>
      <c r="C664" s="12" t="str">
        <f ca="1">IFERROR(__xludf.DUMMYFUNCTION("""COMPUTED_VALUE"""),"Robert Murray M'Cheyne: A Good Minister . . .")</f>
        <v>Robert Murray M'Cheyne: A Good Minister . . .</v>
      </c>
      <c r="D664" s="12"/>
      <c r="E664" s="12" t="str">
        <f ca="1">IFERROR(__xludf.DUMMYFUNCTION("""COMPUTED_VALUE"""),"Book")</f>
        <v>Book</v>
      </c>
      <c r="F664" s="12" t="str">
        <f ca="1">IFERROR(__xludf.DUMMYFUNCTION("""COMPUTED_VALUE"""),"Biography")</f>
        <v>Biography</v>
      </c>
      <c r="G664" s="12"/>
      <c r="H664" s="12"/>
      <c r="I664" s="12"/>
      <c r="J664" s="12"/>
      <c r="K664" s="13">
        <f ca="1">IFERROR(__xludf.DUMMYFUNCTION("""COMPUTED_VALUE"""),40043)</f>
        <v>40043</v>
      </c>
      <c r="L664" s="12"/>
      <c r="M664" s="12"/>
      <c r="N664" s="12" t="str">
        <f ca="1">IFERROR(__xludf.DUMMYFUNCTION("""COMPUTED_VALUE"""),"Table1")</f>
        <v>Table1</v>
      </c>
    </row>
    <row r="665" spans="1:14" ht="15.75" customHeight="1" x14ac:dyDescent="0.35">
      <c r="A665" s="12" t="str">
        <f ca="1">IFERROR(__xludf.DUMMYFUNCTION("""COMPUTED_VALUE"""),"Smith, Ken G.")</f>
        <v>Smith, Ken G.</v>
      </c>
      <c r="B665" s="12" t="str">
        <f ca="1">IFERROR(__xludf.DUMMYFUNCTION("""COMPUTED_VALUE""")," Ken G. Smith")</f>
        <v xml:space="preserve"> Ken G. Smith</v>
      </c>
      <c r="C665" s="12" t="str">
        <f ca="1">IFERROR(__xludf.DUMMYFUNCTION("""COMPUTED_VALUE"""),"With Him: A Biblical Model of Discipleship for Men")</f>
        <v>With Him: A Biblical Model of Discipleship for Men</v>
      </c>
      <c r="D665" s="12"/>
      <c r="E665" s="12" t="str">
        <f ca="1">IFERROR(__xludf.DUMMYFUNCTION("""COMPUTED_VALUE"""),"Book")</f>
        <v>Book</v>
      </c>
      <c r="F665" s="12" t="str">
        <f ca="1">IFERROR(__xludf.DUMMYFUNCTION("""COMPUTED_VALUE"""),"Discipleship")</f>
        <v>Discipleship</v>
      </c>
      <c r="G665" s="12"/>
      <c r="H665" s="12"/>
      <c r="I665" s="12"/>
      <c r="J665" s="12" t="str">
        <f ca="1">IFERROR(__xludf.DUMMYFUNCTION("""COMPUTED_VALUE"""),"Christian Men")</f>
        <v>Christian Men</v>
      </c>
      <c r="K665" s="13"/>
      <c r="L665" s="12"/>
      <c r="M665" s="12"/>
      <c r="N665" s="12" t="str">
        <f ca="1">IFERROR(__xludf.DUMMYFUNCTION("""COMPUTED_VALUE"""),"Table1")</f>
        <v>Table1</v>
      </c>
    </row>
    <row r="666" spans="1:14" ht="15.75" customHeight="1" x14ac:dyDescent="0.35">
      <c r="A666" s="12" t="str">
        <f ca="1">IFERROR(__xludf.DUMMYFUNCTION("""COMPUTED_VALUE"""),"Smith, William P")</f>
        <v>Smith, William P</v>
      </c>
      <c r="B666" s="12" t="str">
        <f ca="1">IFERROR(__xludf.DUMMYFUNCTION("""COMPUTED_VALUE""")," William P Smith")</f>
        <v xml:space="preserve"> William P Smith</v>
      </c>
      <c r="C666" s="12" t="str">
        <f ca="1">IFERROR(__xludf.DUMMYFUNCTION("""COMPUTED_VALUE"""),"Caught Off Guard")</f>
        <v>Caught Off Guard</v>
      </c>
      <c r="D666" s="12"/>
      <c r="E666" s="12" t="str">
        <f ca="1">IFERROR(__xludf.DUMMYFUNCTION("""COMPUTED_VALUE"""),"Book")</f>
        <v>Book</v>
      </c>
      <c r="F666" s="12" t="str">
        <f ca="1">IFERROR(__xludf.DUMMYFUNCTION("""COMPUTED_VALUE"""),"Discipleship")</f>
        <v>Discipleship</v>
      </c>
      <c r="G666" s="12"/>
      <c r="H666" s="12"/>
      <c r="I666" s="12"/>
      <c r="J666" s="12"/>
      <c r="K666" s="13">
        <f ca="1">IFERROR(__xludf.DUMMYFUNCTION("""COMPUTED_VALUE"""),40858)</f>
        <v>40858</v>
      </c>
      <c r="L666" s="12"/>
      <c r="M666" s="12"/>
      <c r="N666" s="12" t="str">
        <f ca="1">IFERROR(__xludf.DUMMYFUNCTION("""COMPUTED_VALUE"""),"Table1")</f>
        <v>Table1</v>
      </c>
    </row>
    <row r="667" spans="1:14" ht="15.75" customHeight="1" x14ac:dyDescent="0.35">
      <c r="A667" s="12" t="str">
        <f ca="1">IFERROR(__xludf.DUMMYFUNCTION("""COMPUTED_VALUE"""),"Smith, Winston T")</f>
        <v>Smith, Winston T</v>
      </c>
      <c r="B667" s="12" t="str">
        <f ca="1">IFERROR(__xludf.DUMMYFUNCTION("""COMPUTED_VALUE""")," Winston T Smith")</f>
        <v xml:space="preserve"> Winston T Smith</v>
      </c>
      <c r="C667" s="12" t="str">
        <f ca="1">IFERROR(__xludf.DUMMYFUNCTION("""COMPUTED_VALUE"""),"Marriage Matters")</f>
        <v>Marriage Matters</v>
      </c>
      <c r="D667" s="12"/>
      <c r="E667" s="12" t="str">
        <f ca="1">IFERROR(__xludf.DUMMYFUNCTION("""COMPUTED_VALUE"""),"Book")</f>
        <v>Book</v>
      </c>
      <c r="F667" s="12" t="str">
        <f ca="1">IFERROR(__xludf.DUMMYFUNCTION("""COMPUTED_VALUE"""),"Understanding Mankind")</f>
        <v>Understanding Mankind</v>
      </c>
      <c r="G667" s="12"/>
      <c r="H667" s="12"/>
      <c r="I667" s="12"/>
      <c r="J667" s="12" t="str">
        <f ca="1">IFERROR(__xludf.DUMMYFUNCTION("""COMPUTED_VALUE"""),"Marriage")</f>
        <v>Marriage</v>
      </c>
      <c r="K667" s="13">
        <f ca="1">IFERROR(__xludf.DUMMYFUNCTION("""COMPUTED_VALUE"""),41773)</f>
        <v>41773</v>
      </c>
      <c r="L667" s="12"/>
      <c r="M667" s="12"/>
      <c r="N667" s="12" t="str">
        <f ca="1">IFERROR(__xludf.DUMMYFUNCTION("""COMPUTED_VALUE"""),"Table1")</f>
        <v>Table1</v>
      </c>
    </row>
    <row r="668" spans="1:14" ht="15.75" customHeight="1" x14ac:dyDescent="0.35">
      <c r="A668" s="12" t="str">
        <f ca="1">IFERROR(__xludf.DUMMYFUNCTION("""COMPUTED_VALUE"""),"Smith, Winston T")</f>
        <v>Smith, Winston T</v>
      </c>
      <c r="B668" s="12" t="str">
        <f ca="1">IFERROR(__xludf.DUMMYFUNCTION("""COMPUTED_VALUE""")," Winston T Smith")</f>
        <v xml:space="preserve"> Winston T Smith</v>
      </c>
      <c r="C668" s="12" t="str">
        <f ca="1">IFERROR(__xludf.DUMMYFUNCTION("""COMPUTED_VALUE"""),"On Relationships")</f>
        <v>On Relationships</v>
      </c>
      <c r="D668" s="12" t="str">
        <f ca="1">IFERROR(__xludf.DUMMYFUNCTION("""COMPUTED_VALUE"""),"JBC Must Reads")</f>
        <v>JBC Must Reads</v>
      </c>
      <c r="E668" s="12" t="str">
        <f ca="1">IFERROR(__xludf.DUMMYFUNCTION("""COMPUTED_VALUE"""),"Book")</f>
        <v>Book</v>
      </c>
      <c r="F668" s="12" t="str">
        <f ca="1">IFERROR(__xludf.DUMMYFUNCTION("""COMPUTED_VALUE"""),"Understanding Mankind")</f>
        <v>Understanding Mankind</v>
      </c>
      <c r="G668" s="12"/>
      <c r="H668" s="12"/>
      <c r="I668" s="12"/>
      <c r="J668" s="12" t="str">
        <f ca="1">IFERROR(__xludf.DUMMYFUNCTION("""COMPUTED_VALUE"""),"Relationships, Fellowship")</f>
        <v>Relationships, Fellowship</v>
      </c>
      <c r="K668" s="13">
        <f ca="1">IFERROR(__xludf.DUMMYFUNCTION("""COMPUTED_VALUE"""),41776)</f>
        <v>41776</v>
      </c>
      <c r="L668" s="12"/>
      <c r="M668" s="12"/>
      <c r="N668" s="12" t="str">
        <f ca="1">IFERROR(__xludf.DUMMYFUNCTION("""COMPUTED_VALUE"""),"Table1")</f>
        <v>Table1</v>
      </c>
    </row>
    <row r="669" spans="1:14" ht="15.75" customHeight="1" x14ac:dyDescent="0.35">
      <c r="A669" s="12" t="str">
        <f ca="1">IFERROR(__xludf.DUMMYFUNCTION("""COMPUTED_VALUE"""),"Somerville, Robert B.")</f>
        <v>Somerville, Robert B.</v>
      </c>
      <c r="B669" s="12" t="str">
        <f ca="1">IFERROR(__xludf.DUMMYFUNCTION("""COMPUTED_VALUE""")," Robert B. Somerville")</f>
        <v xml:space="preserve"> Robert B. Somerville</v>
      </c>
      <c r="C669" s="12" t="str">
        <f ca="1">IFERROR(__xludf.DUMMYFUNCTION("""COMPUTED_VALUE"""),"If I'm a Christian, Why Am I Depressed?")</f>
        <v>If I'm a Christian, Why Am I Depressed?</v>
      </c>
      <c r="D669" s="12"/>
      <c r="E669" s="12" t="str">
        <f ca="1">IFERROR(__xludf.DUMMYFUNCTION("""COMPUTED_VALUE"""),"Book")</f>
        <v>Book</v>
      </c>
      <c r="F669" s="12" t="str">
        <f ca="1">IFERROR(__xludf.DUMMYFUNCTION("""COMPUTED_VALUE"""),"Understanding Mankind")</f>
        <v>Understanding Mankind</v>
      </c>
      <c r="G669" s="12"/>
      <c r="H669" s="12"/>
      <c r="I669" s="12"/>
      <c r="J669" s="12" t="str">
        <f ca="1">IFERROR(__xludf.DUMMYFUNCTION("""COMPUTED_VALUE"""),"Depression")</f>
        <v>Depression</v>
      </c>
      <c r="K669" s="13">
        <f ca="1">IFERROR(__xludf.DUMMYFUNCTION("""COMPUTED_VALUE"""),42856)</f>
        <v>42856</v>
      </c>
      <c r="L669" s="12"/>
      <c r="M669" s="12"/>
      <c r="N669" s="12" t="str">
        <f ca="1">IFERROR(__xludf.DUMMYFUNCTION("""COMPUTED_VALUE"""),"Table1")</f>
        <v>Table1</v>
      </c>
    </row>
    <row r="670" spans="1:14" ht="15.75" customHeight="1" x14ac:dyDescent="0.35">
      <c r="A670" s="12" t="str">
        <f ca="1">IFERROR(__xludf.DUMMYFUNCTION("""COMPUTED_VALUE"""),"Southworth")</f>
        <v>Southworth</v>
      </c>
      <c r="B670" s="12" t="str">
        <f ca="1">IFERROR(__xludf.DUMMYFUNCTION("""COMPUTED_VALUE"""),"Southworth")</f>
        <v>Southworth</v>
      </c>
      <c r="C670" s="12" t="str">
        <f ca="1">IFERROR(__xludf.DUMMYFUNCTION("""COMPUTED_VALUE"""),"Ischmael")</f>
        <v>Ischmael</v>
      </c>
      <c r="D670" s="12" t="str">
        <f ca="1">IFERROR(__xludf.DUMMYFUNCTION("""COMPUTED_VALUE"""),"Lamplighter")</f>
        <v>Lamplighter</v>
      </c>
      <c r="E670" s="12" t="str">
        <f ca="1">IFERROR(__xludf.DUMMYFUNCTION("""COMPUTED_VALUE"""),"Book")</f>
        <v>Book</v>
      </c>
      <c r="F670" s="12" t="str">
        <f ca="1">IFERROR(__xludf.DUMMYFUNCTION("""COMPUTED_VALUE"""),"Fiction")</f>
        <v>Fiction</v>
      </c>
      <c r="G670" s="12"/>
      <c r="H670" s="12"/>
      <c r="I670" s="12"/>
      <c r="J670" s="12" t="str">
        <f ca="1">IFERROR(__xludf.DUMMYFUNCTION("""COMPUTED_VALUE"""),"Youth")</f>
        <v>Youth</v>
      </c>
      <c r="K670" s="13">
        <f ca="1">IFERROR(__xludf.DUMMYFUNCTION("""COMPUTED_VALUE"""),41712)</f>
        <v>41712</v>
      </c>
      <c r="L670" s="12"/>
      <c r="M670" s="12"/>
      <c r="N670" s="12" t="str">
        <f ca="1">IFERROR(__xludf.DUMMYFUNCTION("""COMPUTED_VALUE"""),"Table1")</f>
        <v>Table1</v>
      </c>
    </row>
    <row r="671" spans="1:14" ht="15.75" customHeight="1" x14ac:dyDescent="0.35">
      <c r="A671" s="12" t="str">
        <f ca="1">IFERROR(__xludf.DUMMYFUNCTION("""COMPUTED_VALUE"""),"Southworth")</f>
        <v>Southworth</v>
      </c>
      <c r="B671" s="12" t="str">
        <f ca="1">IFERROR(__xludf.DUMMYFUNCTION("""COMPUTED_VALUE"""),"Southworth")</f>
        <v>Southworth</v>
      </c>
      <c r="C671" s="12" t="str">
        <f ca="1">IFERROR(__xludf.DUMMYFUNCTION("""COMPUTED_VALUE"""),"Self-Raised")</f>
        <v>Self-Raised</v>
      </c>
      <c r="D671" s="12" t="str">
        <f ca="1">IFERROR(__xludf.DUMMYFUNCTION("""COMPUTED_VALUE"""),"Lamplighter")</f>
        <v>Lamplighter</v>
      </c>
      <c r="E671" s="12" t="str">
        <f ca="1">IFERROR(__xludf.DUMMYFUNCTION("""COMPUTED_VALUE"""),"Book")</f>
        <v>Book</v>
      </c>
      <c r="F671" s="12" t="str">
        <f ca="1">IFERROR(__xludf.DUMMYFUNCTION("""COMPUTED_VALUE"""),"Fiction")</f>
        <v>Fiction</v>
      </c>
      <c r="G671" s="12"/>
      <c r="H671" s="12"/>
      <c r="I671" s="12"/>
      <c r="J671" s="12" t="str">
        <f ca="1">IFERROR(__xludf.DUMMYFUNCTION("""COMPUTED_VALUE"""),"Youth")</f>
        <v>Youth</v>
      </c>
      <c r="K671" s="13">
        <f ca="1">IFERROR(__xludf.DUMMYFUNCTION("""COMPUTED_VALUE"""),41712)</f>
        <v>41712</v>
      </c>
      <c r="L671" s="12"/>
      <c r="M671" s="12"/>
      <c r="N671" s="12" t="str">
        <f ca="1">IFERROR(__xludf.DUMMYFUNCTION("""COMPUTED_VALUE"""),"Table1")</f>
        <v>Table1</v>
      </c>
    </row>
    <row r="672" spans="1:14" ht="15.75" customHeight="1" x14ac:dyDescent="0.35">
      <c r="A672" s="12" t="str">
        <f ca="1">IFERROR(__xludf.DUMMYFUNCTION("""COMPUTED_VALUE"""),"Sproul, R.C.")</f>
        <v>Sproul, R.C.</v>
      </c>
      <c r="B672" s="12" t="str">
        <f ca="1">IFERROR(__xludf.DUMMYFUNCTION("""COMPUTED_VALUE""")," R.C. Sproul")</f>
        <v xml:space="preserve"> R.C. Sproul</v>
      </c>
      <c r="C672" s="12" t="str">
        <f ca="1">IFERROR(__xludf.DUMMYFUNCTION("""COMPUTED_VALUE"""),"Getting the Gospel Right: The Tie That Binds Evangelicals Together")</f>
        <v>Getting the Gospel Right: The Tie That Binds Evangelicals Together</v>
      </c>
      <c r="D672" s="12"/>
      <c r="E672" s="12" t="str">
        <f ca="1">IFERROR(__xludf.DUMMYFUNCTION("""COMPUTED_VALUE"""),"Book")</f>
        <v>Book</v>
      </c>
      <c r="F672" s="12" t="str">
        <f ca="1">IFERROR(__xludf.DUMMYFUNCTION("""COMPUTED_VALUE"""),"Salvation")</f>
        <v>Salvation</v>
      </c>
      <c r="G672" s="12"/>
      <c r="H672" s="12"/>
      <c r="I672" s="12"/>
      <c r="J672" s="12" t="str">
        <f ca="1">IFERROR(__xludf.DUMMYFUNCTION("""COMPUTED_VALUE"""),"Gospel")</f>
        <v>Gospel</v>
      </c>
      <c r="K672" s="13"/>
      <c r="L672" s="12"/>
      <c r="M672" s="12"/>
      <c r="N672" s="12" t="str">
        <f ca="1">IFERROR(__xludf.DUMMYFUNCTION("""COMPUTED_VALUE"""),"Table1")</f>
        <v>Table1</v>
      </c>
    </row>
    <row r="673" spans="1:14" ht="15.75" customHeight="1" x14ac:dyDescent="0.35">
      <c r="A673" s="12" t="str">
        <f ca="1">IFERROR(__xludf.DUMMYFUNCTION("""COMPUTED_VALUE"""),"Sproul, R.C.")</f>
        <v>Sproul, R.C.</v>
      </c>
      <c r="B673" s="12" t="str">
        <f ca="1">IFERROR(__xludf.DUMMYFUNCTION("""COMPUTED_VALUE""")," R.C. Sproul")</f>
        <v xml:space="preserve"> R.C. Sproul</v>
      </c>
      <c r="C673" s="12" t="str">
        <f ca="1">IFERROR(__xludf.DUMMYFUNCTION("""COMPUTED_VALUE"""),"The Intimate Marriage")</f>
        <v>The Intimate Marriage</v>
      </c>
      <c r="D673" s="12"/>
      <c r="E673" s="12" t="str">
        <f ca="1">IFERROR(__xludf.DUMMYFUNCTION("""COMPUTED_VALUE"""),"Book")</f>
        <v>Book</v>
      </c>
      <c r="F673" s="12" t="str">
        <f ca="1">IFERROR(__xludf.DUMMYFUNCTION("""COMPUTED_VALUE"""),"Understanding Mankind")</f>
        <v>Understanding Mankind</v>
      </c>
      <c r="G673" s="12"/>
      <c r="H673" s="12"/>
      <c r="I673" s="12"/>
      <c r="J673" s="12" t="str">
        <f ca="1">IFERROR(__xludf.DUMMYFUNCTION("""COMPUTED_VALUE"""),"Marriage")</f>
        <v>Marriage</v>
      </c>
      <c r="K673" s="13"/>
      <c r="L673" s="12"/>
      <c r="M673" s="12"/>
      <c r="N673" s="12" t="str">
        <f ca="1">IFERROR(__xludf.DUMMYFUNCTION("""COMPUTED_VALUE"""),"Table1")</f>
        <v>Table1</v>
      </c>
    </row>
    <row r="674" spans="1:14" ht="15.75" customHeight="1" x14ac:dyDescent="0.35">
      <c r="A674" s="12" t="str">
        <f ca="1">IFERROR(__xludf.DUMMYFUNCTION("""COMPUTED_VALUE"""),"Sproul, R.C. ")</f>
        <v xml:space="preserve">Sproul, R.C. </v>
      </c>
      <c r="B674" s="12" t="str">
        <f ca="1">IFERROR(__xludf.DUMMYFUNCTION("""COMPUTED_VALUE""")," R.C.  Sproul")</f>
        <v xml:space="preserve"> R.C.  Sproul</v>
      </c>
      <c r="C674" s="12" t="str">
        <f ca="1">IFERROR(__xludf.DUMMYFUNCTION("""COMPUTED_VALUE"""),"The Holiness of God, Chosen by God, Pleasing God: Three Volumes in One")</f>
        <v>The Holiness of God, Chosen by God, Pleasing God: Three Volumes in One</v>
      </c>
      <c r="D674" s="12"/>
      <c r="E674" s="12" t="str">
        <f ca="1">IFERROR(__xludf.DUMMYFUNCTION("""COMPUTED_VALUE"""),"Book")</f>
        <v>Book</v>
      </c>
      <c r="F674" s="12" t="str">
        <f ca="1">IFERROR(__xludf.DUMMYFUNCTION("""COMPUTED_VALUE"""),"Theology")</f>
        <v>Theology</v>
      </c>
      <c r="G674" s="12"/>
      <c r="H674" s="12"/>
      <c r="I674" s="12"/>
      <c r="J674" s="12"/>
      <c r="K674" s="13">
        <f ca="1">IFERROR(__xludf.DUMMYFUNCTION("""COMPUTED_VALUE"""),44044)</f>
        <v>44044</v>
      </c>
      <c r="L674" s="12"/>
      <c r="M674" s="12"/>
      <c r="N674" s="12" t="str">
        <f ca="1">IFERROR(__xludf.DUMMYFUNCTION("""COMPUTED_VALUE"""),"Table1")</f>
        <v>Table1</v>
      </c>
    </row>
    <row r="675" spans="1:14" ht="15.75" customHeight="1" x14ac:dyDescent="0.35">
      <c r="A675" s="12" t="str">
        <f ca="1">IFERROR(__xludf.DUMMYFUNCTION("""COMPUTED_VALUE"""),"Sproul, R.C. ")</f>
        <v xml:space="preserve">Sproul, R.C. </v>
      </c>
      <c r="B675" s="12" t="str">
        <f ca="1">IFERROR(__xludf.DUMMYFUNCTION("""COMPUTED_VALUE""")," R.C.  Sproul")</f>
        <v xml:space="preserve"> R.C.  Sproul</v>
      </c>
      <c r="C675" s="12" t="str">
        <f ca="1">IFERROR(__xludf.DUMMYFUNCTION("""COMPUTED_VALUE"""),"Are We Together?: A Protestant Analyzes Roman Catholicism")</f>
        <v>Are We Together?: A Protestant Analyzes Roman Catholicism</v>
      </c>
      <c r="D675" s="12"/>
      <c r="E675" s="12" t="str">
        <f ca="1">IFERROR(__xludf.DUMMYFUNCTION("""COMPUTED_VALUE"""),"Book")</f>
        <v>Book</v>
      </c>
      <c r="F675" s="12" t="str">
        <f ca="1">IFERROR(__xludf.DUMMYFUNCTION("""COMPUTED_VALUE"""),"Worldview")</f>
        <v>Worldview</v>
      </c>
      <c r="G675" s="12"/>
      <c r="H675" s="12"/>
      <c r="I675" s="12"/>
      <c r="J675" s="12" t="str">
        <f ca="1">IFERROR(__xludf.DUMMYFUNCTION("""COMPUTED_VALUE"""),"Catholicism")</f>
        <v>Catholicism</v>
      </c>
      <c r="K675" s="13">
        <f ca="1">IFERROR(__xludf.DUMMYFUNCTION("""COMPUTED_VALUE"""),41468)</f>
        <v>41468</v>
      </c>
      <c r="L675" s="12"/>
      <c r="M675" s="12"/>
      <c r="N675" s="12" t="str">
        <f ca="1">IFERROR(__xludf.DUMMYFUNCTION("""COMPUTED_VALUE"""),"Table1")</f>
        <v>Table1</v>
      </c>
    </row>
    <row r="676" spans="1:14" ht="15.75" customHeight="1" x14ac:dyDescent="0.35">
      <c r="A676" s="12" t="str">
        <f ca="1">IFERROR(__xludf.DUMMYFUNCTION("""COMPUTED_VALUE"""),"Sproul, R.C. ")</f>
        <v xml:space="preserve">Sproul, R.C. </v>
      </c>
      <c r="B676" s="12" t="str">
        <f ca="1">IFERROR(__xludf.DUMMYFUNCTION("""COMPUTED_VALUE""")," R.C.  Sproul")</f>
        <v xml:space="preserve"> R.C.  Sproul</v>
      </c>
      <c r="C676" s="12" t="str">
        <f ca="1">IFERROR(__xludf.DUMMYFUNCTION("""COMPUTED_VALUE"""),"Chosen by God")</f>
        <v>Chosen by God</v>
      </c>
      <c r="D676" s="12"/>
      <c r="E676" s="12" t="str">
        <f ca="1">IFERROR(__xludf.DUMMYFUNCTION("""COMPUTED_VALUE"""),"Book")</f>
        <v>Book</v>
      </c>
      <c r="F676" s="12" t="str">
        <f ca="1">IFERROR(__xludf.DUMMYFUNCTION("""COMPUTED_VALUE"""),"Theology")</f>
        <v>Theology</v>
      </c>
      <c r="G676" s="12"/>
      <c r="H676" s="12"/>
      <c r="I676" s="12"/>
      <c r="J676" s="12"/>
      <c r="K676" s="13">
        <f ca="1">IFERROR(__xludf.DUMMYFUNCTION("""COMPUTED_VALUE"""),40247)</f>
        <v>40247</v>
      </c>
      <c r="L676" s="12"/>
      <c r="M676" s="12"/>
      <c r="N676" s="12" t="str">
        <f ca="1">IFERROR(__xludf.DUMMYFUNCTION("""COMPUTED_VALUE"""),"Table1")</f>
        <v>Table1</v>
      </c>
    </row>
    <row r="677" spans="1:14" ht="15.75" customHeight="1" x14ac:dyDescent="0.35">
      <c r="A677" s="12" t="str">
        <f ca="1">IFERROR(__xludf.DUMMYFUNCTION("""COMPUTED_VALUE"""),"Sproul, R.C. ")</f>
        <v xml:space="preserve">Sproul, R.C. </v>
      </c>
      <c r="B677" s="12" t="str">
        <f ca="1">IFERROR(__xludf.DUMMYFUNCTION("""COMPUTED_VALUE""")," R.C.  Sproul")</f>
        <v xml:space="preserve"> R.C.  Sproul</v>
      </c>
      <c r="C677" s="12" t="str">
        <f ca="1">IFERROR(__xludf.DUMMYFUNCTION("""COMPUTED_VALUE"""),"The Donkey Who Carried a King")</f>
        <v>The Donkey Who Carried a King</v>
      </c>
      <c r="D677" s="12"/>
      <c r="E677" s="12" t="str">
        <f ca="1">IFERROR(__xludf.DUMMYFUNCTION("""COMPUTED_VALUE"""),"Book")</f>
        <v>Book</v>
      </c>
      <c r="F677" s="12" t="str">
        <f ca="1">IFERROR(__xludf.DUMMYFUNCTION("""COMPUTED_VALUE"""),"Children")</f>
        <v>Children</v>
      </c>
      <c r="G677" s="12"/>
      <c r="H677" s="12"/>
      <c r="I677" s="12"/>
      <c r="J677" s="12"/>
      <c r="K677" s="13">
        <f ca="1">IFERROR(__xludf.DUMMYFUNCTION("""COMPUTED_VALUE"""),41011)</f>
        <v>41011</v>
      </c>
      <c r="L677" s="12"/>
      <c r="M677" s="12"/>
      <c r="N677" s="12" t="str">
        <f ca="1">IFERROR(__xludf.DUMMYFUNCTION("""COMPUTED_VALUE"""),"Table1")</f>
        <v>Table1</v>
      </c>
    </row>
    <row r="678" spans="1:14" ht="15.75" customHeight="1" x14ac:dyDescent="0.35">
      <c r="A678" s="12" t="str">
        <f ca="1">IFERROR(__xludf.DUMMYFUNCTION("""COMPUTED_VALUE"""),"Sproul, R.C. ")</f>
        <v xml:space="preserve">Sproul, R.C. </v>
      </c>
      <c r="B678" s="12" t="str">
        <f ca="1">IFERROR(__xludf.DUMMYFUNCTION("""COMPUTED_VALUE""")," R.C.  Sproul")</f>
        <v xml:space="preserve"> R.C.  Sproul</v>
      </c>
      <c r="C678" s="12" t="str">
        <f ca="1">IFERROR(__xludf.DUMMYFUNCTION("""COMPUTED_VALUE"""),"Everyone's a Theologian: An Introduction . . .")</f>
        <v>Everyone's a Theologian: An Introduction . . .</v>
      </c>
      <c r="D678" s="12"/>
      <c r="E678" s="12" t="str">
        <f ca="1">IFERROR(__xludf.DUMMYFUNCTION("""COMPUTED_VALUE"""),"Book")</f>
        <v>Book</v>
      </c>
      <c r="F678" s="12" t="str">
        <f ca="1">IFERROR(__xludf.DUMMYFUNCTION("""COMPUTED_VALUE"""),"Theology")</f>
        <v>Theology</v>
      </c>
      <c r="G678" s="12"/>
      <c r="H678" s="12"/>
      <c r="I678" s="12"/>
      <c r="J678" s="12"/>
      <c r="K678" s="13">
        <f ca="1">IFERROR(__xludf.DUMMYFUNCTION("""COMPUTED_VALUE"""),41804)</f>
        <v>41804</v>
      </c>
      <c r="L678" s="12"/>
      <c r="M678" s="12"/>
      <c r="N678" s="12" t="str">
        <f ca="1">IFERROR(__xludf.DUMMYFUNCTION("""COMPUTED_VALUE"""),"Table1")</f>
        <v>Table1</v>
      </c>
    </row>
    <row r="679" spans="1:14" ht="15.75" customHeight="1" x14ac:dyDescent="0.35">
      <c r="A679" s="12" t="str">
        <f ca="1">IFERROR(__xludf.DUMMYFUNCTION("""COMPUTED_VALUE"""),"Sproul, R.C. ")</f>
        <v xml:space="preserve">Sproul, R.C. </v>
      </c>
      <c r="B679" s="12" t="str">
        <f ca="1">IFERROR(__xludf.DUMMYFUNCTION("""COMPUTED_VALUE""")," R.C.  Sproul")</f>
        <v xml:space="preserve"> R.C.  Sproul</v>
      </c>
      <c r="C679" s="12" t="str">
        <f ca="1">IFERROR(__xludf.DUMMYFUNCTION("""COMPUTED_VALUE"""),"The Holiness of God")</f>
        <v>The Holiness of God</v>
      </c>
      <c r="D679" s="12"/>
      <c r="E679" s="12" t="str">
        <f ca="1">IFERROR(__xludf.DUMMYFUNCTION("""COMPUTED_VALUE"""),"Book")</f>
        <v>Book</v>
      </c>
      <c r="F679" s="12" t="str">
        <f ca="1">IFERROR(__xludf.DUMMYFUNCTION("""COMPUTED_VALUE"""),"Theology")</f>
        <v>Theology</v>
      </c>
      <c r="G679" s="12"/>
      <c r="H679" s="12"/>
      <c r="I679" s="12"/>
      <c r="J679" s="12"/>
      <c r="K679" s="13">
        <f ca="1">IFERROR(__xludf.DUMMYFUNCTION("""COMPUTED_VALUE"""),40044)</f>
        <v>40044</v>
      </c>
      <c r="L679" s="12"/>
      <c r="M679" s="12"/>
      <c r="N679" s="12" t="str">
        <f ca="1">IFERROR(__xludf.DUMMYFUNCTION("""COMPUTED_VALUE"""),"Table1")</f>
        <v>Table1</v>
      </c>
    </row>
    <row r="680" spans="1:14" ht="15.75" customHeight="1" x14ac:dyDescent="0.35">
      <c r="A680" s="12" t="str">
        <f ca="1">IFERROR(__xludf.DUMMYFUNCTION("""COMPUTED_VALUE"""),"Sproul, R.C. ")</f>
        <v xml:space="preserve">Sproul, R.C. </v>
      </c>
      <c r="B680" s="12" t="str">
        <f ca="1">IFERROR(__xludf.DUMMYFUNCTION("""COMPUTED_VALUE""")," R.C.  Sproul")</f>
        <v xml:space="preserve"> R.C.  Sproul</v>
      </c>
      <c r="C680" s="12" t="str">
        <f ca="1">IFERROR(__xludf.DUMMYFUNCTION("""COMPUTED_VALUE"""),"The Hunger for Significance: Seeing the Image of God in Man")</f>
        <v>The Hunger for Significance: Seeing the Image of God in Man</v>
      </c>
      <c r="D680" s="12"/>
      <c r="E680" s="12" t="str">
        <f ca="1">IFERROR(__xludf.DUMMYFUNCTION("""COMPUTED_VALUE"""),"Book")</f>
        <v>Book</v>
      </c>
      <c r="F680" s="12" t="str">
        <f ca="1">IFERROR(__xludf.DUMMYFUNCTION("""COMPUTED_VALUE"""),"Understanding Mankind")</f>
        <v>Understanding Mankind</v>
      </c>
      <c r="G680" s="12"/>
      <c r="H680" s="12"/>
      <c r="I680" s="12"/>
      <c r="J680" s="12"/>
      <c r="K680" s="13">
        <f ca="1">IFERROR(__xludf.DUMMYFUNCTION("""COMPUTED_VALUE"""),44044)</f>
        <v>44044</v>
      </c>
      <c r="L680" s="12"/>
      <c r="M680" s="12"/>
      <c r="N680" s="12" t="str">
        <f ca="1">IFERROR(__xludf.DUMMYFUNCTION("""COMPUTED_VALUE"""),"Table1")</f>
        <v>Table1</v>
      </c>
    </row>
    <row r="681" spans="1:14" ht="15.75" customHeight="1" x14ac:dyDescent="0.35">
      <c r="A681" s="12" t="str">
        <f ca="1">IFERROR(__xludf.DUMMYFUNCTION("""COMPUTED_VALUE"""),"Sproul, R.C. ")</f>
        <v xml:space="preserve">Sproul, R.C. </v>
      </c>
      <c r="B681" s="12" t="str">
        <f ca="1">IFERROR(__xludf.DUMMYFUNCTION("""COMPUTED_VALUE""")," R.C.  Sproul")</f>
        <v xml:space="preserve"> R.C.  Sproul</v>
      </c>
      <c r="C681" s="12" t="str">
        <f ca="1">IFERROR(__xludf.DUMMYFUNCTION("""COMPUTED_VALUE"""),"The King without a Shadow")</f>
        <v>The King without a Shadow</v>
      </c>
      <c r="D681" s="12"/>
      <c r="E681" s="12" t="str">
        <f ca="1">IFERROR(__xludf.DUMMYFUNCTION("""COMPUTED_VALUE"""),"Book")</f>
        <v>Book</v>
      </c>
      <c r="F681" s="12" t="str">
        <f ca="1">IFERROR(__xludf.DUMMYFUNCTION("""COMPUTED_VALUE"""),"Children")</f>
        <v>Children</v>
      </c>
      <c r="G681" s="12"/>
      <c r="H681" s="12"/>
      <c r="I681" s="12"/>
      <c r="J681" s="12"/>
      <c r="K681" s="13">
        <f ca="1">IFERROR(__xludf.DUMMYFUNCTION("""COMPUTED_VALUE"""),40674)</f>
        <v>40674</v>
      </c>
      <c r="L681" s="12"/>
      <c r="M681" s="12"/>
      <c r="N681" s="12" t="str">
        <f ca="1">IFERROR(__xludf.DUMMYFUNCTION("""COMPUTED_VALUE"""),"Table1")</f>
        <v>Table1</v>
      </c>
    </row>
    <row r="682" spans="1:14" ht="15.75" customHeight="1" x14ac:dyDescent="0.35">
      <c r="A682" s="12" t="str">
        <f ca="1">IFERROR(__xludf.DUMMYFUNCTION("""COMPUTED_VALUE"""),"Sproul, R.C. ")</f>
        <v xml:space="preserve">Sproul, R.C. </v>
      </c>
      <c r="B682" s="12" t="str">
        <f ca="1">IFERROR(__xludf.DUMMYFUNCTION("""COMPUTED_VALUE""")," R.C.  Sproul")</f>
        <v xml:space="preserve"> R.C.  Sproul</v>
      </c>
      <c r="C682" s="12" t="str">
        <f ca="1">IFERROR(__xludf.DUMMYFUNCTION("""COMPUTED_VALUE"""),"The Knight's Map")</f>
        <v>The Knight's Map</v>
      </c>
      <c r="D682" s="12"/>
      <c r="E682" s="12" t="str">
        <f ca="1">IFERROR(__xludf.DUMMYFUNCTION("""COMPUTED_VALUE"""),"Book")</f>
        <v>Book</v>
      </c>
      <c r="F682" s="12" t="str">
        <f ca="1">IFERROR(__xludf.DUMMYFUNCTION("""COMPUTED_VALUE"""),"Children")</f>
        <v>Children</v>
      </c>
      <c r="G682" s="12"/>
      <c r="H682" s="12"/>
      <c r="I682" s="12"/>
      <c r="J682" s="12"/>
      <c r="K682" s="13">
        <f ca="1">IFERROR(__xludf.DUMMYFUNCTION("""COMPUTED_VALUE"""),42659)</f>
        <v>42659</v>
      </c>
      <c r="L682" s="12"/>
      <c r="M682" s="12"/>
      <c r="N682" s="12" t="str">
        <f ca="1">IFERROR(__xludf.DUMMYFUNCTION("""COMPUTED_VALUE"""),"Table1")</f>
        <v>Table1</v>
      </c>
    </row>
    <row r="683" spans="1:14" ht="15.75" customHeight="1" x14ac:dyDescent="0.35">
      <c r="A683" s="12" t="str">
        <f ca="1">IFERROR(__xludf.DUMMYFUNCTION("""COMPUTED_VALUE"""),"Sproul, R.C. ")</f>
        <v xml:space="preserve">Sproul, R.C. </v>
      </c>
      <c r="B683" s="12" t="str">
        <f ca="1">IFERROR(__xludf.DUMMYFUNCTION("""COMPUTED_VALUE""")," R.C.  Sproul")</f>
        <v xml:space="preserve"> R.C.  Sproul</v>
      </c>
      <c r="C683" s="12" t="str">
        <f ca="1">IFERROR(__xludf.DUMMYFUNCTION("""COMPUTED_VALUE"""),"Meeting Jesus: The 'I Am' Sayings of Christ")</f>
        <v>Meeting Jesus: The 'I Am' Sayings of Christ</v>
      </c>
      <c r="D683" s="12"/>
      <c r="E683" s="12" t="str">
        <f ca="1">IFERROR(__xludf.DUMMYFUNCTION("""COMPUTED_VALUE"""),"Book")</f>
        <v>Book</v>
      </c>
      <c r="F683" s="12" t="str">
        <f ca="1">IFERROR(__xludf.DUMMYFUNCTION("""COMPUTED_VALUE"""),"Theology")</f>
        <v>Theology</v>
      </c>
      <c r="G683" s="12"/>
      <c r="H683" s="12"/>
      <c r="I683" s="12"/>
      <c r="J683" s="12"/>
      <c r="K683" s="13">
        <f ca="1">IFERROR(__xludf.DUMMYFUNCTION("""COMPUTED_VALUE"""),43872)</f>
        <v>43872</v>
      </c>
      <c r="L683" s="12"/>
      <c r="M683" s="12"/>
      <c r="N683" s="12" t="str">
        <f ca="1">IFERROR(__xludf.DUMMYFUNCTION("""COMPUTED_VALUE"""),"Table1")</f>
        <v>Table1</v>
      </c>
    </row>
    <row r="684" spans="1:14" ht="15.75" customHeight="1" x14ac:dyDescent="0.35">
      <c r="A684" s="12" t="str">
        <f ca="1">IFERROR(__xludf.DUMMYFUNCTION("""COMPUTED_VALUE"""),"Sproul, R.C. ")</f>
        <v xml:space="preserve">Sproul, R.C. </v>
      </c>
      <c r="B684" s="12" t="str">
        <f ca="1">IFERROR(__xludf.DUMMYFUNCTION("""COMPUTED_VALUE""")," R.C.  Sproul")</f>
        <v xml:space="preserve"> R.C.  Sproul</v>
      </c>
      <c r="C684" s="12" t="str">
        <f ca="1">IFERROR(__xludf.DUMMYFUNCTION("""COMPUTED_VALUE"""),"The Mystery of the Holy Spirit")</f>
        <v>The Mystery of the Holy Spirit</v>
      </c>
      <c r="D684" s="12"/>
      <c r="E684" s="12" t="str">
        <f ca="1">IFERROR(__xludf.DUMMYFUNCTION("""COMPUTED_VALUE"""),"Book")</f>
        <v>Book</v>
      </c>
      <c r="F684" s="12" t="str">
        <f ca="1">IFERROR(__xludf.DUMMYFUNCTION("""COMPUTED_VALUE"""),"Theology")</f>
        <v>Theology</v>
      </c>
      <c r="G684" s="12"/>
      <c r="H684" s="12"/>
      <c r="I684" s="12"/>
      <c r="J684" s="12" t="str">
        <f ca="1">IFERROR(__xludf.DUMMYFUNCTION("""COMPUTED_VALUE"""),"Holy Spirit")</f>
        <v>Holy Spirit</v>
      </c>
      <c r="K684" s="13">
        <f ca="1">IFERROR(__xludf.DUMMYFUNCTION("""COMPUTED_VALUE"""),40247)</f>
        <v>40247</v>
      </c>
      <c r="L684" s="12"/>
      <c r="M684" s="12"/>
      <c r="N684" s="12" t="str">
        <f ca="1">IFERROR(__xludf.DUMMYFUNCTION("""COMPUTED_VALUE"""),"Table1")</f>
        <v>Table1</v>
      </c>
    </row>
    <row r="685" spans="1:14" ht="15.75" customHeight="1" x14ac:dyDescent="0.35">
      <c r="A685" s="12" t="str">
        <f ca="1">IFERROR(__xludf.DUMMYFUNCTION("""COMPUTED_VALUE"""),"Sproul, R.C. ")</f>
        <v xml:space="preserve">Sproul, R.C. </v>
      </c>
      <c r="B685" s="12" t="str">
        <f ca="1">IFERROR(__xludf.DUMMYFUNCTION("""COMPUTED_VALUE""")," R.C.  Sproul")</f>
        <v xml:space="preserve"> R.C.  Sproul</v>
      </c>
      <c r="C685" s="12" t="str">
        <f ca="1">IFERROR(__xludf.DUMMYFUNCTION("""COMPUTED_VALUE"""),"Pleasing God ")</f>
        <v xml:space="preserve">Pleasing God </v>
      </c>
      <c r="D685" s="12"/>
      <c r="E685" s="12" t="str">
        <f ca="1">IFERROR(__xludf.DUMMYFUNCTION("""COMPUTED_VALUE"""),"Book")</f>
        <v>Book</v>
      </c>
      <c r="F685" s="12" t="str">
        <f ca="1">IFERROR(__xludf.DUMMYFUNCTION("""COMPUTED_VALUE"""),"Theology")</f>
        <v>Theology</v>
      </c>
      <c r="G685" s="12"/>
      <c r="H685" s="12"/>
      <c r="I685" s="12"/>
      <c r="J685" s="12"/>
      <c r="K685" s="13">
        <f ca="1">IFERROR(__xludf.DUMMYFUNCTION("""COMPUTED_VALUE"""),42677)</f>
        <v>42677</v>
      </c>
      <c r="L685" s="12"/>
      <c r="M685" s="12"/>
      <c r="N685" s="12" t="str">
        <f ca="1">IFERROR(__xludf.DUMMYFUNCTION("""COMPUTED_VALUE"""),"Table1")</f>
        <v>Table1</v>
      </c>
    </row>
    <row r="686" spans="1:14" ht="15.75" customHeight="1" x14ac:dyDescent="0.35">
      <c r="A686" s="12" t="str">
        <f ca="1">IFERROR(__xludf.DUMMYFUNCTION("""COMPUTED_VALUE"""),"Sproul, R.C. ")</f>
        <v xml:space="preserve">Sproul, R.C. </v>
      </c>
      <c r="B686" s="12" t="str">
        <f ca="1">IFERROR(__xludf.DUMMYFUNCTION("""COMPUTED_VALUE""")," R.C.  Sproul")</f>
        <v xml:space="preserve"> R.C.  Sproul</v>
      </c>
      <c r="C686" s="12" t="str">
        <f ca="1">IFERROR(__xludf.DUMMYFUNCTION("""COMPUTED_VALUE"""),"The Priest with Dirty Clothes")</f>
        <v>The Priest with Dirty Clothes</v>
      </c>
      <c r="D686" s="12"/>
      <c r="E686" s="12" t="str">
        <f ca="1">IFERROR(__xludf.DUMMYFUNCTION("""COMPUTED_VALUE"""),"Book")</f>
        <v>Book</v>
      </c>
      <c r="F686" s="12" t="str">
        <f ca="1">IFERROR(__xludf.DUMMYFUNCTION("""COMPUTED_VALUE"""),"Children")</f>
        <v>Children</v>
      </c>
      <c r="G686" s="12"/>
      <c r="H686" s="12"/>
      <c r="I686" s="12"/>
      <c r="J686" s="12"/>
      <c r="K686" s="13">
        <f ca="1">IFERROR(__xludf.DUMMYFUNCTION("""COMPUTED_VALUE"""),43023)</f>
        <v>43023</v>
      </c>
      <c r="L686" s="12"/>
      <c r="M686" s="12"/>
      <c r="N686" s="12" t="str">
        <f ca="1">IFERROR(__xludf.DUMMYFUNCTION("""COMPUTED_VALUE"""),"Table1")</f>
        <v>Table1</v>
      </c>
    </row>
    <row r="687" spans="1:14" ht="15.75" customHeight="1" x14ac:dyDescent="0.35">
      <c r="A687" s="12" t="str">
        <f ca="1">IFERROR(__xludf.DUMMYFUNCTION("""COMPUTED_VALUE"""),"Sproul, R.C. ")</f>
        <v xml:space="preserve">Sproul, R.C. </v>
      </c>
      <c r="B687" s="12" t="str">
        <f ca="1">IFERROR(__xludf.DUMMYFUNCTION("""COMPUTED_VALUE""")," R.C.  Sproul")</f>
        <v xml:space="preserve"> R.C.  Sproul</v>
      </c>
      <c r="C687" s="12" t="str">
        <f ca="1">IFERROR(__xludf.DUMMYFUNCTION("""COMPUTED_VALUE"""),"The Prince's Poison Cup")</f>
        <v>The Prince's Poison Cup</v>
      </c>
      <c r="D687" s="12"/>
      <c r="E687" s="12" t="str">
        <f ca="1">IFERROR(__xludf.DUMMYFUNCTION("""COMPUTED_VALUE"""),"Book")</f>
        <v>Book</v>
      </c>
      <c r="F687" s="12" t="str">
        <f ca="1">IFERROR(__xludf.DUMMYFUNCTION("""COMPUTED_VALUE"""),"Children")</f>
        <v>Children</v>
      </c>
      <c r="G687" s="12"/>
      <c r="H687" s="12"/>
      <c r="I687" s="12"/>
      <c r="J687" s="12"/>
      <c r="K687" s="13">
        <f ca="1">IFERROR(__xludf.DUMMYFUNCTION("""COMPUTED_VALUE"""),40674)</f>
        <v>40674</v>
      </c>
      <c r="L687" s="12"/>
      <c r="M687" s="12"/>
      <c r="N687" s="12" t="str">
        <f ca="1">IFERROR(__xludf.DUMMYFUNCTION("""COMPUTED_VALUE"""),"Table1")</f>
        <v>Table1</v>
      </c>
    </row>
    <row r="688" spans="1:14" ht="15.75" customHeight="1" x14ac:dyDescent="0.35">
      <c r="A688" s="12" t="str">
        <f ca="1">IFERROR(__xludf.DUMMYFUNCTION("""COMPUTED_VALUE"""),"Sproul, R.C. ")</f>
        <v xml:space="preserve">Sproul, R.C. </v>
      </c>
      <c r="B688" s="12" t="str">
        <f ca="1">IFERROR(__xludf.DUMMYFUNCTION("""COMPUTED_VALUE""")," R.C.  Sproul")</f>
        <v xml:space="preserve"> R.C.  Sproul</v>
      </c>
      <c r="C688" s="12" t="str">
        <f ca="1">IFERROR(__xludf.DUMMYFUNCTION("""COMPUTED_VALUE"""),"The Soul's Quest for God")</f>
        <v>The Soul's Quest for God</v>
      </c>
      <c r="D688" s="12"/>
      <c r="E688" s="12" t="str">
        <f ca="1">IFERROR(__xludf.DUMMYFUNCTION("""COMPUTED_VALUE"""),"Book")</f>
        <v>Book</v>
      </c>
      <c r="F688" s="12" t="str">
        <f ca="1">IFERROR(__xludf.DUMMYFUNCTION("""COMPUTED_VALUE"""),"Discipleship")</f>
        <v>Discipleship</v>
      </c>
      <c r="G688" s="12"/>
      <c r="H688" s="12"/>
      <c r="I688" s="12"/>
      <c r="J688" s="12"/>
      <c r="K688" s="13">
        <f ca="1">IFERROR(__xludf.DUMMYFUNCTION("""COMPUTED_VALUE"""),42705)</f>
        <v>42705</v>
      </c>
      <c r="L688" s="12" t="str">
        <f ca="1">IFERROR(__xludf.DUMMYFUNCTION("""COMPUTED_VALUE"""),"Missing as of February 2020")</f>
        <v>Missing as of February 2020</v>
      </c>
      <c r="M688" s="12"/>
      <c r="N688" s="12" t="str">
        <f ca="1">IFERROR(__xludf.DUMMYFUNCTION("""COMPUTED_VALUE"""),"Table1")</f>
        <v>Table1</v>
      </c>
    </row>
    <row r="689" spans="1:14" ht="15.75" customHeight="1" x14ac:dyDescent="0.35">
      <c r="A689" s="12" t="str">
        <f ca="1">IFERROR(__xludf.DUMMYFUNCTION("""COMPUTED_VALUE"""),"Sproul, R.C. ")</f>
        <v xml:space="preserve">Sproul, R.C. </v>
      </c>
      <c r="B689" s="12" t="str">
        <f ca="1">IFERROR(__xludf.DUMMYFUNCTION("""COMPUTED_VALUE""")," R.C.  Sproul")</f>
        <v xml:space="preserve"> R.C.  Sproul</v>
      </c>
      <c r="C689" s="12" t="str">
        <f ca="1">IFERROR(__xludf.DUMMYFUNCTION("""COMPUTED_VALUE"""),"Surprised by Suffering")</f>
        <v>Surprised by Suffering</v>
      </c>
      <c r="D689" s="12"/>
      <c r="E689" s="12" t="str">
        <f ca="1">IFERROR(__xludf.DUMMYFUNCTION("""COMPUTED_VALUE"""),"Book")</f>
        <v>Book</v>
      </c>
      <c r="F689" s="12" t="str">
        <f ca="1">IFERROR(__xludf.DUMMYFUNCTION("""COMPUTED_VALUE"""),"Understanding Mankind")</f>
        <v>Understanding Mankind</v>
      </c>
      <c r="G689" s="12"/>
      <c r="H689" s="12"/>
      <c r="I689" s="12"/>
      <c r="J689" s="12" t="str">
        <f ca="1">IFERROR(__xludf.DUMMYFUNCTION("""COMPUTED_VALUE"""),"Suffering")</f>
        <v>Suffering</v>
      </c>
      <c r="K689" s="13">
        <f ca="1">IFERROR(__xludf.DUMMYFUNCTION("""COMPUTED_VALUE"""),41865)</f>
        <v>41865</v>
      </c>
      <c r="L689" s="12"/>
      <c r="M689" s="12"/>
      <c r="N689" s="12" t="str">
        <f ca="1">IFERROR(__xludf.DUMMYFUNCTION("""COMPUTED_VALUE"""),"Table1")</f>
        <v>Table1</v>
      </c>
    </row>
    <row r="690" spans="1:14" ht="15.75" customHeight="1" x14ac:dyDescent="0.35">
      <c r="A690" s="12" t="str">
        <f ca="1">IFERROR(__xludf.DUMMYFUNCTION("""COMPUTED_VALUE"""),"Sproul, R.C. ")</f>
        <v xml:space="preserve">Sproul, R.C. </v>
      </c>
      <c r="B690" s="12" t="str">
        <f ca="1">IFERROR(__xludf.DUMMYFUNCTION("""COMPUTED_VALUE""")," R.C.  Sproul")</f>
        <v xml:space="preserve"> R.C.  Sproul</v>
      </c>
      <c r="C690" s="12" t="str">
        <f ca="1">IFERROR(__xludf.DUMMYFUNCTION("""COMPUTED_VALUE"""),"What is Reformed Theology?")</f>
        <v>What is Reformed Theology?</v>
      </c>
      <c r="D690" s="12"/>
      <c r="E690" s="12" t="str">
        <f ca="1">IFERROR(__xludf.DUMMYFUNCTION("""COMPUTED_VALUE"""),"Book")</f>
        <v>Book</v>
      </c>
      <c r="F690" s="12" t="str">
        <f ca="1">IFERROR(__xludf.DUMMYFUNCTION("""COMPUTED_VALUE"""),"Theology")</f>
        <v>Theology</v>
      </c>
      <c r="G690" s="12"/>
      <c r="H690" s="12"/>
      <c r="I690" s="12"/>
      <c r="J690" s="12" t="str">
        <f ca="1">IFERROR(__xludf.DUMMYFUNCTION("""COMPUTED_VALUE"""),"Calvinism")</f>
        <v>Calvinism</v>
      </c>
      <c r="K690" s="13">
        <f ca="1">IFERROR(__xludf.DUMMYFUNCTION("""COMPUTED_VALUE"""),42705)</f>
        <v>42705</v>
      </c>
      <c r="L690" s="12"/>
      <c r="M690" s="12"/>
      <c r="N690" s="12" t="str">
        <f ca="1">IFERROR(__xludf.DUMMYFUNCTION("""COMPUTED_VALUE"""),"Table1")</f>
        <v>Table1</v>
      </c>
    </row>
    <row r="691" spans="1:14" ht="15.75" customHeight="1" x14ac:dyDescent="0.35">
      <c r="A691" s="12" t="str">
        <f ca="1">IFERROR(__xludf.DUMMYFUNCTION("""COMPUTED_VALUE"""),"Stein, Robert H.")</f>
        <v>Stein, Robert H.</v>
      </c>
      <c r="B691" s="12" t="str">
        <f ca="1">IFERROR(__xludf.DUMMYFUNCTION("""COMPUTED_VALUE""")," Robert H. Stein")</f>
        <v xml:space="preserve"> Robert H. Stein</v>
      </c>
      <c r="C691" s="12" t="str">
        <f ca="1">IFERROR(__xludf.DUMMYFUNCTION("""COMPUTED_VALUE"""),"The New American Commentary: Luke")</f>
        <v>The New American Commentary: Luke</v>
      </c>
      <c r="D691" s="12"/>
      <c r="E691" s="12" t="str">
        <f ca="1">IFERROR(__xludf.DUMMYFUNCTION("""COMPUTED_VALUE"""),"Book")</f>
        <v>Book</v>
      </c>
      <c r="F691" s="12" t="str">
        <f ca="1">IFERROR(__xludf.DUMMYFUNCTION("""COMPUTED_VALUE"""),"Reference")</f>
        <v>Reference</v>
      </c>
      <c r="G691" s="12"/>
      <c r="H691" s="12"/>
      <c r="I691" s="12"/>
      <c r="J691" s="12"/>
      <c r="K691" s="13">
        <f ca="1">IFERROR(__xludf.DUMMYFUNCTION("""COMPUTED_VALUE"""),42511)</f>
        <v>42511</v>
      </c>
      <c r="L691" s="12"/>
      <c r="M691" s="12"/>
      <c r="N691" s="12" t="str">
        <f ca="1">IFERROR(__xludf.DUMMYFUNCTION("""COMPUTED_VALUE"""),"Table1")</f>
        <v>Table1</v>
      </c>
    </row>
    <row r="692" spans="1:14" ht="15.75" customHeight="1" x14ac:dyDescent="0.35">
      <c r="A692" s="12" t="str">
        <f ca="1">IFERROR(__xludf.DUMMYFUNCTION("""COMPUTED_VALUE"""),"Stott, John R. W. ")</f>
        <v xml:space="preserve">Stott, John R. W. </v>
      </c>
      <c r="B692" s="12" t="str">
        <f ca="1">IFERROR(__xludf.DUMMYFUNCTION("""COMPUTED_VALUE""")," John R. W.  Stott")</f>
        <v xml:space="preserve"> John R. W.  Stott</v>
      </c>
      <c r="C692" s="12" t="str">
        <f ca="1">IFERROR(__xludf.DUMMYFUNCTION("""COMPUTED_VALUE"""),"Baptism &amp; Fullness")</f>
        <v>Baptism &amp; Fullness</v>
      </c>
      <c r="D692" s="12"/>
      <c r="E692" s="12" t="str">
        <f ca="1">IFERROR(__xludf.DUMMYFUNCTION("""COMPUTED_VALUE"""),"Book")</f>
        <v>Book</v>
      </c>
      <c r="F692" s="12" t="str">
        <f ca="1">IFERROR(__xludf.DUMMYFUNCTION("""COMPUTED_VALUE"""),"Theology")</f>
        <v>Theology</v>
      </c>
      <c r="G692" s="12"/>
      <c r="H692" s="12"/>
      <c r="I692" s="12"/>
      <c r="J692" s="12" t="str">
        <f ca="1">IFERROR(__xludf.DUMMYFUNCTION("""COMPUTED_VALUE"""),"Baptism")</f>
        <v>Baptism</v>
      </c>
      <c r="K692" s="13">
        <f ca="1">IFERROR(__xludf.DUMMYFUNCTION("""COMPUTED_VALUE"""),40045)</f>
        <v>40045</v>
      </c>
      <c r="L692" s="12"/>
      <c r="M692" s="12"/>
      <c r="N692" s="12" t="str">
        <f ca="1">IFERROR(__xludf.DUMMYFUNCTION("""COMPUTED_VALUE"""),"Table1")</f>
        <v>Table1</v>
      </c>
    </row>
    <row r="693" spans="1:14" ht="15.75" customHeight="1" x14ac:dyDescent="0.35">
      <c r="A693" s="12" t="str">
        <f ca="1">IFERROR(__xludf.DUMMYFUNCTION("""COMPUTED_VALUE"""),"Strackbein, Jenna and Shanna")</f>
        <v>Strackbein, Jenna and Shanna</v>
      </c>
      <c r="B693" s="12" t="str">
        <f ca="1">IFERROR(__xludf.DUMMYFUNCTION("""COMPUTED_VALUE"""),"#N/A")</f>
        <v>#N/A</v>
      </c>
      <c r="C693" s="12" t="str">
        <f ca="1">IFERROR(__xludf.DUMMYFUNCTION("""COMPUTED_VALUE"""),"Kathrine von Bora: The Morning Star of Wittenberg")</f>
        <v>Kathrine von Bora: The Morning Star of Wittenberg</v>
      </c>
      <c r="D693" s="12"/>
      <c r="E693" s="12" t="str">
        <f ca="1">IFERROR(__xludf.DUMMYFUNCTION("""COMPUTED_VALUE"""),"Book")</f>
        <v>Book</v>
      </c>
      <c r="F693" s="12" t="str">
        <f ca="1">IFERROR(__xludf.DUMMYFUNCTION("""COMPUTED_VALUE"""),"Children")</f>
        <v>Children</v>
      </c>
      <c r="G693" s="12"/>
      <c r="H693" s="12"/>
      <c r="I693" s="12"/>
      <c r="J693" s="12"/>
      <c r="K693" s="13">
        <f ca="1">IFERROR(__xludf.DUMMYFUNCTION("""COMPUTED_VALUE"""),43040)</f>
        <v>43040</v>
      </c>
      <c r="L693" s="12"/>
      <c r="M693" s="12"/>
      <c r="N693" s="12" t="str">
        <f ca="1">IFERROR(__xludf.DUMMYFUNCTION("""COMPUTED_VALUE"""),"Table1")</f>
        <v>Table1</v>
      </c>
    </row>
    <row r="694" spans="1:14" ht="15.75" customHeight="1" x14ac:dyDescent="0.35">
      <c r="A694" s="12" t="str">
        <f ca="1">IFERROR(__xludf.DUMMYFUNCTION("""COMPUTED_VALUE"""),"Strange, Daniel")</f>
        <v>Strange, Daniel</v>
      </c>
      <c r="B694" s="12" t="str">
        <f ca="1">IFERROR(__xludf.DUMMYFUNCTION("""COMPUTED_VALUE""")," Daniel Strange")</f>
        <v xml:space="preserve"> Daniel Strange</v>
      </c>
      <c r="C694" s="12" t="str">
        <f ca="1">IFERROR(__xludf.DUMMYFUNCTION("""COMPUTED_VALUE"""),"Making Faith Magnetic: Five Hidden Themes Our Culture Can't Stop Talking About and How to Connect Them to Christ")</f>
        <v>Making Faith Magnetic: Five Hidden Themes Our Culture Can't Stop Talking About and How to Connect Them to Christ</v>
      </c>
      <c r="D694" s="12"/>
      <c r="E694" s="12" t="str">
        <f ca="1">IFERROR(__xludf.DUMMYFUNCTION("""COMPUTED_VALUE"""),"Book")</f>
        <v>Book</v>
      </c>
      <c r="F694" s="12" t="str">
        <f ca="1">IFERROR(__xludf.DUMMYFUNCTION("""COMPUTED_VALUE"""),"Understanding Mankind")</f>
        <v>Understanding Mankind</v>
      </c>
      <c r="G694" s="12"/>
      <c r="H694" s="12"/>
      <c r="I694" s="12"/>
      <c r="J694" s="12" t="str">
        <f ca="1">IFERROR(__xludf.DUMMYFUNCTION("""COMPUTED_VALUE"""),"Evangelism")</f>
        <v>Evangelism</v>
      </c>
      <c r="K694" s="13">
        <f ca="1">IFERROR(__xludf.DUMMYFUNCTION("""COMPUTED_VALUE"""),44534)</f>
        <v>44534</v>
      </c>
      <c r="L694" s="12"/>
      <c r="M694" s="12"/>
      <c r="N694" s="12" t="str">
        <f ca="1">IFERROR(__xludf.DUMMYFUNCTION("""COMPUTED_VALUE"""),"Table1")</f>
        <v>Table1</v>
      </c>
    </row>
    <row r="695" spans="1:14" ht="15.75" customHeight="1" x14ac:dyDescent="0.35">
      <c r="A695" s="12" t="str">
        <f ca="1">IFERROR(__xludf.DUMMYFUNCTION("""COMPUTED_VALUE"""),"Strange, Daniel")</f>
        <v>Strange, Daniel</v>
      </c>
      <c r="B695" s="12" t="str">
        <f ca="1">IFERROR(__xludf.DUMMYFUNCTION("""COMPUTED_VALUE""")," Daniel Strange")</f>
        <v xml:space="preserve"> Daniel Strange</v>
      </c>
      <c r="C695" s="12" t="str">
        <f ca="1">IFERROR(__xludf.DUMMYFUNCTION("""COMPUTED_VALUE"""),"Plugged In: Connecting Your Faith with What You Watch, Read, and Play")</f>
        <v>Plugged In: Connecting Your Faith with What You Watch, Read, and Play</v>
      </c>
      <c r="D695" s="12"/>
      <c r="E695" s="12" t="str">
        <f ca="1">IFERROR(__xludf.DUMMYFUNCTION("""COMPUTED_VALUE"""),"Book")</f>
        <v>Book</v>
      </c>
      <c r="F695" s="12" t="str">
        <f ca="1">IFERROR(__xludf.DUMMYFUNCTION("""COMPUTED_VALUE"""),"Worldview")</f>
        <v>Worldview</v>
      </c>
      <c r="G695" s="12"/>
      <c r="H695" s="12"/>
      <c r="I695" s="12"/>
      <c r="J695" s="12" t="str">
        <f ca="1">IFERROR(__xludf.DUMMYFUNCTION("""COMPUTED_VALUE"""),"Culture, Media")</f>
        <v>Culture, Media</v>
      </c>
      <c r="K695" s="13">
        <f ca="1">IFERROR(__xludf.DUMMYFUNCTION("""COMPUTED_VALUE"""),44772)</f>
        <v>44772</v>
      </c>
      <c r="L695" s="12"/>
      <c r="M695" s="12"/>
      <c r="N695" s="12" t="str">
        <f ca="1">IFERROR(__xludf.DUMMYFUNCTION("""COMPUTED_VALUE"""),"Table1")</f>
        <v>Table1</v>
      </c>
    </row>
    <row r="696" spans="1:14" ht="15.75" customHeight="1" x14ac:dyDescent="0.35">
      <c r="A696" s="12" t="str">
        <f ca="1">IFERROR(__xludf.DUMMYFUNCTION("""COMPUTED_VALUE"""),"Strauch, Alexander")</f>
        <v>Strauch, Alexander</v>
      </c>
      <c r="B696" s="12" t="str">
        <f ca="1">IFERROR(__xludf.DUMMYFUNCTION("""COMPUTED_VALUE""")," Alexander Strauch")</f>
        <v xml:space="preserve"> Alexander Strauch</v>
      </c>
      <c r="C696" s="12" t="str">
        <f ca="1">IFERROR(__xludf.DUMMYFUNCTION("""COMPUTED_VALUE"""),"Biblical Eldership")</f>
        <v>Biblical Eldership</v>
      </c>
      <c r="D696" s="12"/>
      <c r="E696" s="12" t="str">
        <f ca="1">IFERROR(__xludf.DUMMYFUNCTION("""COMPUTED_VALUE"""),"Book")</f>
        <v>Book</v>
      </c>
      <c r="F696" s="12" t="str">
        <f ca="1">IFERROR(__xludf.DUMMYFUNCTION("""COMPUTED_VALUE"""),"Church")</f>
        <v>Church</v>
      </c>
      <c r="G696" s="12"/>
      <c r="H696" s="12"/>
      <c r="I696" s="12"/>
      <c r="J696" s="12" t="str">
        <f ca="1">IFERROR(__xludf.DUMMYFUNCTION("""COMPUTED_VALUE"""),"Church Leaders")</f>
        <v>Church Leaders</v>
      </c>
      <c r="K696" s="13">
        <f ca="1">IFERROR(__xludf.DUMMYFUNCTION("""COMPUTED_VALUE"""),40046)</f>
        <v>40046</v>
      </c>
      <c r="L696" s="12"/>
      <c r="M696" s="12"/>
      <c r="N696" s="12" t="str">
        <f ca="1">IFERROR(__xludf.DUMMYFUNCTION("""COMPUTED_VALUE"""),"Table1")</f>
        <v>Table1</v>
      </c>
    </row>
    <row r="697" spans="1:14" ht="15.75" customHeight="1" x14ac:dyDescent="0.35">
      <c r="A697" s="12" t="str">
        <f ca="1">IFERROR(__xludf.DUMMYFUNCTION("""COMPUTED_VALUE"""),"Strauch, Alexander")</f>
        <v>Strauch, Alexander</v>
      </c>
      <c r="B697" s="12" t="str">
        <f ca="1">IFERROR(__xludf.DUMMYFUNCTION("""COMPUTED_VALUE""")," Alexander Strauch")</f>
        <v xml:space="preserve"> Alexander Strauch</v>
      </c>
      <c r="C697" s="12" t="str">
        <f ca="1">IFERROR(__xludf.DUMMYFUNCTION("""COMPUTED_VALUE"""),"The Hospitality Commands: Building Bridges to Friends and Neighbors")</f>
        <v>The Hospitality Commands: Building Bridges to Friends and Neighbors</v>
      </c>
      <c r="D697" s="12"/>
      <c r="E697" s="12" t="str">
        <f ca="1">IFERROR(__xludf.DUMMYFUNCTION("""COMPUTED_VALUE"""),"Book")</f>
        <v>Book</v>
      </c>
      <c r="F697" s="12" t="str">
        <f ca="1">IFERROR(__xludf.DUMMYFUNCTION("""COMPUTED_VALUE"""),"Church")</f>
        <v>Church</v>
      </c>
      <c r="G697" s="12"/>
      <c r="H697" s="12"/>
      <c r="I697" s="12"/>
      <c r="J697" s="12" t="str">
        <f ca="1">IFERROR(__xludf.DUMMYFUNCTION("""COMPUTED_VALUE"""),"Fellowship")</f>
        <v>Fellowship</v>
      </c>
      <c r="K697" s="13">
        <f ca="1">IFERROR(__xludf.DUMMYFUNCTION("""COMPUTED_VALUE"""),40047)</f>
        <v>40047</v>
      </c>
      <c r="L697" s="12"/>
      <c r="M697" s="12"/>
      <c r="N697" s="12" t="str">
        <f ca="1">IFERROR(__xludf.DUMMYFUNCTION("""COMPUTED_VALUE"""),"Table1")</f>
        <v>Table1</v>
      </c>
    </row>
    <row r="698" spans="1:14" ht="15.75" customHeight="1" x14ac:dyDescent="0.35">
      <c r="A698" s="12" t="str">
        <f ca="1">IFERROR(__xludf.DUMMYFUNCTION("""COMPUTED_VALUE"""),"Swift, Catherine")</f>
        <v>Swift, Catherine</v>
      </c>
      <c r="B698" s="12" t="str">
        <f ca="1">IFERROR(__xludf.DUMMYFUNCTION("""COMPUTED_VALUE""")," Catherine Swift")</f>
        <v xml:space="preserve"> Catherine Swift</v>
      </c>
      <c r="C698" s="12" t="str">
        <f ca="1">IFERROR(__xludf.DUMMYFUNCTION("""COMPUTED_VALUE"""),"Eric Liddell")</f>
        <v>Eric Liddell</v>
      </c>
      <c r="D698" s="12"/>
      <c r="E698" s="12" t="str">
        <f ca="1">IFERROR(__xludf.DUMMYFUNCTION("""COMPUTED_VALUE"""),"Book")</f>
        <v>Book</v>
      </c>
      <c r="F698" s="12" t="str">
        <f ca="1">IFERROR(__xludf.DUMMYFUNCTION("""COMPUTED_VALUE"""),"Biography")</f>
        <v>Biography</v>
      </c>
      <c r="G698" s="12"/>
      <c r="H698" s="12"/>
      <c r="I698" s="12"/>
      <c r="J698" s="12" t="str">
        <f ca="1">IFERROR(__xludf.DUMMYFUNCTION("""COMPUTED_VALUE"""),"Athletics")</f>
        <v>Athletics</v>
      </c>
      <c r="K698" s="13">
        <f ca="1">IFERROR(__xludf.DUMMYFUNCTION("""COMPUTED_VALUE"""),40048)</f>
        <v>40048</v>
      </c>
      <c r="L698" s="12"/>
      <c r="M698" s="12"/>
      <c r="N698" s="12" t="str">
        <f ca="1">IFERROR(__xludf.DUMMYFUNCTION("""COMPUTED_VALUE"""),"Table1")</f>
        <v>Table1</v>
      </c>
    </row>
    <row r="699" spans="1:14" ht="15.75" customHeight="1" x14ac:dyDescent="0.35">
      <c r="A699" s="12" t="str">
        <f ca="1">IFERROR(__xludf.DUMMYFUNCTION("""COMPUTED_VALUE"""),"Tada, Joni Eareckson")</f>
        <v>Tada, Joni Eareckson</v>
      </c>
      <c r="B699" s="12" t="str">
        <f ca="1">IFERROR(__xludf.DUMMYFUNCTION("""COMPUTED_VALUE""")," Joni Eareckson Tada")</f>
        <v xml:space="preserve"> Joni Eareckson Tada</v>
      </c>
      <c r="C699" s="12" t="str">
        <f ca="1">IFERROR(__xludf.DUMMYFUNCTION("""COMPUTED_VALUE"""),"The God I Love")</f>
        <v>The God I Love</v>
      </c>
      <c r="D699" s="12"/>
      <c r="E699" s="12" t="str">
        <f ca="1">IFERROR(__xludf.DUMMYFUNCTION("""COMPUTED_VALUE"""),"Book")</f>
        <v>Book</v>
      </c>
      <c r="F699" s="12" t="str">
        <f ca="1">IFERROR(__xludf.DUMMYFUNCTION("""COMPUTED_VALUE"""),"Biography")</f>
        <v>Biography</v>
      </c>
      <c r="G699" s="12"/>
      <c r="H699" s="12"/>
      <c r="I699" s="12"/>
      <c r="J699" s="12"/>
      <c r="K699" s="13">
        <f ca="1">IFERROR(__xludf.DUMMYFUNCTION("""COMPUTED_VALUE"""),41225)</f>
        <v>41225</v>
      </c>
      <c r="L699" s="12"/>
      <c r="M699" s="12"/>
      <c r="N699" s="12" t="str">
        <f ca="1">IFERROR(__xludf.DUMMYFUNCTION("""COMPUTED_VALUE"""),"Table1")</f>
        <v>Table1</v>
      </c>
    </row>
    <row r="700" spans="1:14" ht="15.75" customHeight="1" x14ac:dyDescent="0.35">
      <c r="A700" s="12" t="str">
        <f ca="1">IFERROR(__xludf.DUMMYFUNCTION("""COMPUTED_VALUE"""),"Tada, Joni Eareckson; Estes, Steve")</f>
        <v>Tada, Joni Eareckson; Estes, Steve</v>
      </c>
      <c r="B700" s="12" t="str">
        <f ca="1">IFERROR(__xludf.DUMMYFUNCTION("""COMPUTED_VALUE""")," Joni Eareckson Tada; Steve Estes")</f>
        <v xml:space="preserve"> Joni Eareckson Tada; Steve Estes</v>
      </c>
      <c r="C700" s="12" t="str">
        <f ca="1">IFERROR(__xludf.DUMMYFUNCTION("""COMPUTED_VALUE"""),"When God Weeps")</f>
        <v>When God Weeps</v>
      </c>
      <c r="D700" s="12" t="str">
        <f ca="1">IFERROR(__xludf.DUMMYFUNCTION("""COMPUTED_VALUE"""),"Estes")</f>
        <v>Estes</v>
      </c>
      <c r="E700" s="12" t="str">
        <f ca="1">IFERROR(__xludf.DUMMYFUNCTION("""COMPUTED_VALUE"""),"Book")</f>
        <v>Book</v>
      </c>
      <c r="F700" s="12" t="str">
        <f ca="1">IFERROR(__xludf.DUMMYFUNCTION("""COMPUTED_VALUE"""),"Understanding Mankind")</f>
        <v>Understanding Mankind</v>
      </c>
      <c r="G700" s="12"/>
      <c r="H700" s="12"/>
      <c r="I700" s="12"/>
      <c r="J700" s="12" t="str">
        <f ca="1">IFERROR(__xludf.DUMMYFUNCTION("""COMPUTED_VALUE"""),"Suffering")</f>
        <v>Suffering</v>
      </c>
      <c r="K700" s="13">
        <f ca="1">IFERROR(__xludf.DUMMYFUNCTION("""COMPUTED_VALUE"""),40049)</f>
        <v>40049</v>
      </c>
      <c r="L700" s="12"/>
      <c r="M700" s="12"/>
      <c r="N700" s="12" t="str">
        <f ca="1">IFERROR(__xludf.DUMMYFUNCTION("""COMPUTED_VALUE"""),"Table1")</f>
        <v>Table1</v>
      </c>
    </row>
    <row r="701" spans="1:14" ht="15.75" customHeight="1" x14ac:dyDescent="0.35">
      <c r="A701" s="12" t="str">
        <f ca="1">IFERROR(__xludf.DUMMYFUNCTION("""COMPUTED_VALUE"""),"Talbert, Layton")</f>
        <v>Talbert, Layton</v>
      </c>
      <c r="B701" s="12" t="str">
        <f ca="1">IFERROR(__xludf.DUMMYFUNCTION("""COMPUTED_VALUE""")," Layton Talbert")</f>
        <v xml:space="preserve"> Layton Talbert</v>
      </c>
      <c r="C701" s="12" t="str">
        <f ca="1">IFERROR(__xludf.DUMMYFUNCTION("""COMPUTED_VALUE"""),"Not by Chance: How Parents Boost Their Teen's Success In and After Treatment ")</f>
        <v xml:space="preserve">Not by Chance: How Parents Boost Their Teen's Success In and After Treatment </v>
      </c>
      <c r="D701" s="12"/>
      <c r="E701" s="12" t="str">
        <f ca="1">IFERROR(__xludf.DUMMYFUNCTION("""COMPUTED_VALUE"""),"Book")</f>
        <v>Book</v>
      </c>
      <c r="F701" s="12" t="str">
        <f ca="1">IFERROR(__xludf.DUMMYFUNCTION("""COMPUTED_VALUE"""),"Theology")</f>
        <v>Theology</v>
      </c>
      <c r="G701" s="12" t="str">
        <f ca="1">IFERROR(__xludf.DUMMYFUNCTION("""COMPUTED_VALUE"""),"Understanding Mankind")</f>
        <v>Understanding Mankind</v>
      </c>
      <c r="H701" s="12"/>
      <c r="I701" s="12"/>
      <c r="J701" s="12" t="str">
        <f ca="1">IFERROR(__xludf.DUMMYFUNCTION("""COMPUTED_VALUE"""),"Parenting")</f>
        <v>Parenting</v>
      </c>
      <c r="K701" s="13">
        <f ca="1">IFERROR(__xludf.DUMMYFUNCTION("""COMPUTED_VALUE"""),40050)</f>
        <v>40050</v>
      </c>
      <c r="L701" s="12"/>
      <c r="M701" s="12"/>
      <c r="N701" s="12" t="str">
        <f ca="1">IFERROR(__xludf.DUMMYFUNCTION("""COMPUTED_VALUE"""),"Table1")</f>
        <v>Table1</v>
      </c>
    </row>
    <row r="702" spans="1:14" ht="15.75" customHeight="1" x14ac:dyDescent="0.35">
      <c r="A702" s="12" t="str">
        <f ca="1">IFERROR(__xludf.DUMMYFUNCTION("""COMPUTED_VALUE"""),"Tauges, Paul")</f>
        <v>Tauges, Paul</v>
      </c>
      <c r="B702" s="12" t="str">
        <f ca="1">IFERROR(__xludf.DUMMYFUNCTION("""COMPUTED_VALUE""")," Paul Tauges")</f>
        <v xml:space="preserve"> Paul Tauges</v>
      </c>
      <c r="C702" s="12" t="str">
        <f ca="1">IFERROR(__xludf.DUMMYFUNCTION("""COMPUTED_VALUE"""),"Counsel One Another")</f>
        <v>Counsel One Another</v>
      </c>
      <c r="D702" s="12"/>
      <c r="E702" s="12" t="str">
        <f ca="1">IFERROR(__xludf.DUMMYFUNCTION("""COMPUTED_VALUE"""),"Book")</f>
        <v>Book</v>
      </c>
      <c r="F702" s="12" t="str">
        <f ca="1">IFERROR(__xludf.DUMMYFUNCTION("""COMPUTED_VALUE"""),"Understanding Mankind")</f>
        <v>Understanding Mankind</v>
      </c>
      <c r="G702" s="12"/>
      <c r="H702" s="12"/>
      <c r="I702" s="12"/>
      <c r="J702" s="12" t="str">
        <f ca="1">IFERROR(__xludf.DUMMYFUNCTION("""COMPUTED_VALUE"""),"Counseling, Fellowship")</f>
        <v>Counseling, Fellowship</v>
      </c>
      <c r="K702" s="13">
        <f ca="1">IFERROR(__xludf.DUMMYFUNCTION("""COMPUTED_VALUE"""),40051)</f>
        <v>40051</v>
      </c>
      <c r="L702" s="12"/>
      <c r="M702" s="12"/>
      <c r="N702" s="12" t="str">
        <f ca="1">IFERROR(__xludf.DUMMYFUNCTION("""COMPUTED_VALUE"""),"Table1")</f>
        <v>Table1</v>
      </c>
    </row>
    <row r="703" spans="1:14" ht="15.75" customHeight="1" x14ac:dyDescent="0.35">
      <c r="A703" s="12" t="str">
        <f ca="1">IFERROR(__xludf.DUMMYFUNCTION("""COMPUTED_VALUE"""),"Taylor, Helen L")</f>
        <v>Taylor, Helen L</v>
      </c>
      <c r="B703" s="12" t="str">
        <f ca="1">IFERROR(__xludf.DUMMYFUNCTION("""COMPUTED_VALUE""")," Helen L Taylor")</f>
        <v xml:space="preserve"> Helen L Taylor</v>
      </c>
      <c r="C703" s="12" t="str">
        <f ca="1">IFERROR(__xludf.DUMMYFUNCTION("""COMPUTED_VALUE"""),"Little Pilgrim's Progress")</f>
        <v>Little Pilgrim's Progress</v>
      </c>
      <c r="D703" s="12"/>
      <c r="E703" s="12" t="str">
        <f ca="1">IFERROR(__xludf.DUMMYFUNCTION("""COMPUTED_VALUE"""),"Book")</f>
        <v>Book</v>
      </c>
      <c r="F703" s="12" t="str">
        <f ca="1">IFERROR(__xludf.DUMMYFUNCTION("""COMPUTED_VALUE"""),"Children")</f>
        <v>Children</v>
      </c>
      <c r="G703" s="12"/>
      <c r="H703" s="12"/>
      <c r="I703" s="12"/>
      <c r="J703" s="12"/>
      <c r="K703" s="13">
        <f ca="1">IFERROR(__xludf.DUMMYFUNCTION("""COMPUTED_VALUE"""),41011)</f>
        <v>41011</v>
      </c>
      <c r="L703" s="12"/>
      <c r="M703" s="12"/>
      <c r="N703" s="12" t="str">
        <f ca="1">IFERROR(__xludf.DUMMYFUNCTION("""COMPUTED_VALUE"""),"Table1")</f>
        <v>Table1</v>
      </c>
    </row>
    <row r="704" spans="1:14" ht="15.75" customHeight="1" x14ac:dyDescent="0.35">
      <c r="A704" s="12" t="str">
        <f ca="1">IFERROR(__xludf.DUMMYFUNCTION("""COMPUTED_VALUE"""),"Taylor, J. Hudson")</f>
        <v>Taylor, J. Hudson</v>
      </c>
      <c r="B704" s="12" t="str">
        <f ca="1">IFERROR(__xludf.DUMMYFUNCTION("""COMPUTED_VALUE""")," J. Hudson Taylor")</f>
        <v xml:space="preserve"> J. Hudson Taylor</v>
      </c>
      <c r="C704" s="12" t="str">
        <f ca="1">IFERROR(__xludf.DUMMYFUNCTION("""COMPUTED_VALUE"""),"Hudson Taylor")</f>
        <v>Hudson Taylor</v>
      </c>
      <c r="D704" s="12"/>
      <c r="E704" s="12" t="str">
        <f ca="1">IFERROR(__xludf.DUMMYFUNCTION("""COMPUTED_VALUE"""),"Book")</f>
        <v>Book</v>
      </c>
      <c r="F704" s="12" t="str">
        <f ca="1">IFERROR(__xludf.DUMMYFUNCTION("""COMPUTED_VALUE"""),"Biography")</f>
        <v>Biography</v>
      </c>
      <c r="G704" s="12"/>
      <c r="H704" s="12"/>
      <c r="I704" s="12"/>
      <c r="J704" s="12" t="str">
        <f ca="1">IFERROR(__xludf.DUMMYFUNCTION("""COMPUTED_VALUE"""),"Missions")</f>
        <v>Missions</v>
      </c>
      <c r="K704" s="13">
        <f ca="1">IFERROR(__xludf.DUMMYFUNCTION("""COMPUTED_VALUE"""),40052)</f>
        <v>40052</v>
      </c>
      <c r="L704" s="12"/>
      <c r="M704" s="12"/>
      <c r="N704" s="12" t="str">
        <f ca="1">IFERROR(__xludf.DUMMYFUNCTION("""COMPUTED_VALUE"""),"Table1")</f>
        <v>Table1</v>
      </c>
    </row>
    <row r="705" spans="1:14" ht="15.75" customHeight="1" x14ac:dyDescent="0.35">
      <c r="A705" s="12" t="str">
        <f ca="1">IFERROR(__xludf.DUMMYFUNCTION("""COMPUTED_VALUE"""),"Taylor, Kenneth N.")</f>
        <v>Taylor, Kenneth N.</v>
      </c>
      <c r="B705" s="12" t="str">
        <f ca="1">IFERROR(__xludf.DUMMYFUNCTION("""COMPUTED_VALUE""")," Kenneth N. Taylor")</f>
        <v xml:space="preserve"> Kenneth N. Taylor</v>
      </c>
      <c r="C705" s="12" t="str">
        <f ca="1">IFERROR(__xludf.DUMMYFUNCTION("""COMPUTED_VALUE"""),"Everything a Child Should Know About God")</f>
        <v>Everything a Child Should Know About God</v>
      </c>
      <c r="D705" s="12"/>
      <c r="E705" s="12" t="str">
        <f ca="1">IFERROR(__xludf.DUMMYFUNCTION("""COMPUTED_VALUE"""),"Book")</f>
        <v>Book</v>
      </c>
      <c r="F705" s="12" t="str">
        <f ca="1">IFERROR(__xludf.DUMMYFUNCTION("""COMPUTED_VALUE"""),"Children")</f>
        <v>Children</v>
      </c>
      <c r="G705" s="12"/>
      <c r="H705" s="12"/>
      <c r="I705" s="12"/>
      <c r="J705" s="12"/>
      <c r="K705" s="13">
        <f ca="1">IFERROR(__xludf.DUMMYFUNCTION("""COMPUTED_VALUE"""),42231)</f>
        <v>42231</v>
      </c>
      <c r="L705" s="12" t="str">
        <f ca="1">IFERROR(__xludf.DUMMYFUNCTION("""COMPUTED_VALUE"""),"Missing as of February 2020")</f>
        <v>Missing as of February 2020</v>
      </c>
      <c r="M705" s="12"/>
      <c r="N705" s="12" t="str">
        <f ca="1">IFERROR(__xludf.DUMMYFUNCTION("""COMPUTED_VALUE"""),"Table1")</f>
        <v>Table1</v>
      </c>
    </row>
    <row r="706" spans="1:14" ht="15.75" customHeight="1" x14ac:dyDescent="0.35">
      <c r="A706" s="12" t="str">
        <f ca="1">IFERROR(__xludf.DUMMYFUNCTION("""COMPUTED_VALUE"""),"Taylor, Mrs. Howard")</f>
        <v>Taylor, Mrs. Howard</v>
      </c>
      <c r="B706" s="12" t="str">
        <f ca="1">IFERROR(__xludf.DUMMYFUNCTION("""COMPUTED_VALUE""")," Mrs. Howard Taylor")</f>
        <v xml:space="preserve"> Mrs. Howard Taylor</v>
      </c>
      <c r="C706" s="12" t="str">
        <f ca="1">IFERROR(__xludf.DUMMYFUNCTION("""COMPUTED_VALUE"""),"Borden of Yale")</f>
        <v>Borden of Yale</v>
      </c>
      <c r="D706" s="12"/>
      <c r="E706" s="12" t="str">
        <f ca="1">IFERROR(__xludf.DUMMYFUNCTION("""COMPUTED_VALUE"""),"Book")</f>
        <v>Book</v>
      </c>
      <c r="F706" s="12" t="str">
        <f ca="1">IFERROR(__xludf.DUMMYFUNCTION("""COMPUTED_VALUE"""),"Biography")</f>
        <v>Biography</v>
      </c>
      <c r="G706" s="12"/>
      <c r="H706" s="12"/>
      <c r="I706" s="12"/>
      <c r="J706" s="12"/>
      <c r="K706" s="13">
        <f ca="1">IFERROR(__xludf.DUMMYFUNCTION("""COMPUTED_VALUE"""),39934)</f>
        <v>39934</v>
      </c>
      <c r="L706" s="12"/>
      <c r="M706" s="12"/>
      <c r="N706" s="12" t="str">
        <f ca="1">IFERROR(__xludf.DUMMYFUNCTION("""COMPUTED_VALUE"""),"Table1")</f>
        <v>Table1</v>
      </c>
    </row>
    <row r="707" spans="1:14" ht="15.75" customHeight="1" x14ac:dyDescent="0.35">
      <c r="A707" s="12" t="str">
        <f ca="1">IFERROR(__xludf.DUMMYFUNCTION("""COMPUTED_VALUE"""),"Ten Boom, Corrie")</f>
        <v>Ten Boom, Corrie</v>
      </c>
      <c r="B707" s="12" t="str">
        <f ca="1">IFERROR(__xludf.DUMMYFUNCTION("""COMPUTED_VALUE""")," Corrie Ten Boom")</f>
        <v xml:space="preserve"> Corrie Ten Boom</v>
      </c>
      <c r="C707" s="12" t="str">
        <f ca="1">IFERROR(__xludf.DUMMYFUNCTION("""COMPUTED_VALUE"""),"The Hiding Place")</f>
        <v>The Hiding Place</v>
      </c>
      <c r="D707" s="12"/>
      <c r="E707" s="12" t="str">
        <f ca="1">IFERROR(__xludf.DUMMYFUNCTION("""COMPUTED_VALUE"""),"Book")</f>
        <v>Book</v>
      </c>
      <c r="F707" s="12" t="str">
        <f ca="1">IFERROR(__xludf.DUMMYFUNCTION("""COMPUTED_VALUE"""),"Biography")</f>
        <v>Biography</v>
      </c>
      <c r="G707" s="12"/>
      <c r="H707" s="12"/>
      <c r="I707" s="12"/>
      <c r="J707" s="12" t="str">
        <f ca="1">IFERROR(__xludf.DUMMYFUNCTION("""COMPUTED_VALUE"""),"Suffering")</f>
        <v>Suffering</v>
      </c>
      <c r="K707" s="13">
        <f ca="1">IFERROR(__xludf.DUMMYFUNCTION("""COMPUTED_VALUE"""),40053)</f>
        <v>40053</v>
      </c>
      <c r="L707" s="12"/>
      <c r="M707" s="12"/>
      <c r="N707" s="12" t="str">
        <f ca="1">IFERROR(__xludf.DUMMYFUNCTION("""COMPUTED_VALUE"""),"Table1")</f>
        <v>Table1</v>
      </c>
    </row>
    <row r="708" spans="1:14" ht="15.75" customHeight="1" x14ac:dyDescent="0.35">
      <c r="A708" s="12" t="str">
        <f ca="1">IFERROR(__xludf.DUMMYFUNCTION("""COMPUTED_VALUE"""),"Thomas, Derek W. H.")</f>
        <v>Thomas, Derek W. H.</v>
      </c>
      <c r="B708" s="12" t="str">
        <f ca="1">IFERROR(__xludf.DUMMYFUNCTION("""COMPUTED_VALUE""")," Derek W. H. Thomas")</f>
        <v xml:space="preserve"> Derek W. H. Thomas</v>
      </c>
      <c r="C708" s="12" t="str">
        <f ca="1">IFERROR(__xludf.DUMMYFUNCTION("""COMPUTED_VALUE"""),"How the Gospel Brings Us All the Way Home")</f>
        <v>How the Gospel Brings Us All the Way Home</v>
      </c>
      <c r="D708" s="12"/>
      <c r="E708" s="12" t="str">
        <f ca="1">IFERROR(__xludf.DUMMYFUNCTION("""COMPUTED_VALUE"""),"Book")</f>
        <v>Book</v>
      </c>
      <c r="F708" s="12" t="str">
        <f ca="1">IFERROR(__xludf.DUMMYFUNCTION("""COMPUTED_VALUE"""),"Theology")</f>
        <v>Theology</v>
      </c>
      <c r="G708" s="12"/>
      <c r="H708" s="12"/>
      <c r="I708" s="12"/>
      <c r="J708" s="12" t="str">
        <f ca="1">IFERROR(__xludf.DUMMYFUNCTION("""COMPUTED_VALUE"""),"Gospel")</f>
        <v>Gospel</v>
      </c>
      <c r="K708" s="13">
        <f ca="1">IFERROR(__xludf.DUMMYFUNCTION("""COMPUTED_VALUE"""),41804)</f>
        <v>41804</v>
      </c>
      <c r="L708" s="12"/>
      <c r="M708" s="12"/>
      <c r="N708" s="12" t="str">
        <f ca="1">IFERROR(__xludf.DUMMYFUNCTION("""COMPUTED_VALUE"""),"Table1")</f>
        <v>Table1</v>
      </c>
    </row>
    <row r="709" spans="1:14" ht="15.75" customHeight="1" x14ac:dyDescent="0.35">
      <c r="A709" s="12" t="str">
        <f ca="1">IFERROR(__xludf.DUMMYFUNCTION("""COMPUTED_VALUE"""),"Thomas, Robert L")</f>
        <v>Thomas, Robert L</v>
      </c>
      <c r="B709" s="12" t="str">
        <f ca="1">IFERROR(__xludf.DUMMYFUNCTION("""COMPUTED_VALUE""")," Robert L Thomas")</f>
        <v xml:space="preserve"> Robert L Thomas</v>
      </c>
      <c r="C709" s="12" t="str">
        <f ca="1">IFERROR(__xludf.DUMMYFUNCTION("""COMPUTED_VALUE"""),"Understanding Spiritual Gifts (1 Cor 12-14)")</f>
        <v>Understanding Spiritual Gifts (1 Cor 12-14)</v>
      </c>
      <c r="D709" s="12"/>
      <c r="E709" s="12" t="str">
        <f ca="1">IFERROR(__xludf.DUMMYFUNCTION("""COMPUTED_VALUE"""),"Book")</f>
        <v>Book</v>
      </c>
      <c r="F709" s="12" t="str">
        <f ca="1">IFERROR(__xludf.DUMMYFUNCTION("""COMPUTED_VALUE"""),"Bible")</f>
        <v>Bible</v>
      </c>
      <c r="G709" s="12" t="str">
        <f ca="1">IFERROR(__xludf.DUMMYFUNCTION("""COMPUTED_VALUE"""),"Theology")</f>
        <v>Theology</v>
      </c>
      <c r="H709" s="12"/>
      <c r="I709" s="12"/>
      <c r="J709" s="12"/>
      <c r="K709" s="13">
        <f ca="1">IFERROR(__xludf.DUMMYFUNCTION("""COMPUTED_VALUE"""),40766)</f>
        <v>40766</v>
      </c>
      <c r="L709" s="12"/>
      <c r="M709" s="12"/>
      <c r="N709" s="12" t="str">
        <f ca="1">IFERROR(__xludf.DUMMYFUNCTION("""COMPUTED_VALUE"""),"Table1")</f>
        <v>Table1</v>
      </c>
    </row>
    <row r="710" spans="1:14" ht="15.75" customHeight="1" x14ac:dyDescent="0.35">
      <c r="A710" s="12" t="str">
        <f ca="1">IFERROR(__xludf.DUMMYFUNCTION("""COMPUTED_VALUE"""),"Thompson, Jim")</f>
        <v>Thompson, Jim</v>
      </c>
      <c r="B710" s="12" t="str">
        <f ca="1">IFERROR(__xludf.DUMMYFUNCTION("""COMPUTED_VALUE""")," Jim Thompson")</f>
        <v xml:space="preserve"> Jim Thompson</v>
      </c>
      <c r="C710" s="12" t="str">
        <f ca="1">IFERROR(__xludf.DUMMYFUNCTION("""COMPUTED_VALUE"""),"Prophecy Today: A Further Word from God?")</f>
        <v>Prophecy Today: A Further Word from God?</v>
      </c>
      <c r="D710" s="12"/>
      <c r="E710" s="12" t="str">
        <f ca="1">IFERROR(__xludf.DUMMYFUNCTION("""COMPUTED_VALUE"""),"Book")</f>
        <v>Book</v>
      </c>
      <c r="F710" s="12" t="str">
        <f ca="1">IFERROR(__xludf.DUMMYFUNCTION("""COMPUTED_VALUE"""),"Theology")</f>
        <v>Theology</v>
      </c>
      <c r="G710" s="12"/>
      <c r="H710" s="12"/>
      <c r="I710" s="12"/>
      <c r="J710" s="12" t="str">
        <f ca="1">IFERROR(__xludf.DUMMYFUNCTION("""COMPUTED_VALUE"""),"Prophecy")</f>
        <v>Prophecy</v>
      </c>
      <c r="K710" s="13">
        <f ca="1">IFERROR(__xludf.DUMMYFUNCTION("""COMPUTED_VALUE"""),41072)</f>
        <v>41072</v>
      </c>
      <c r="L710" s="12"/>
      <c r="M710" s="12"/>
      <c r="N710" s="12" t="str">
        <f ca="1">IFERROR(__xludf.DUMMYFUNCTION("""COMPUTED_VALUE"""),"Table1")</f>
        <v>Table1</v>
      </c>
    </row>
    <row r="711" spans="1:14" ht="15.75" customHeight="1" x14ac:dyDescent="0.35">
      <c r="A711" s="12" t="str">
        <f ca="1">IFERROR(__xludf.DUMMYFUNCTION("""COMPUTED_VALUE"""),"Thornton, Champ")</f>
        <v>Thornton, Champ</v>
      </c>
      <c r="B711" s="12" t="str">
        <f ca="1">IFERROR(__xludf.DUMMYFUNCTION("""COMPUTED_VALUE""")," Champ Thornton")</f>
        <v xml:space="preserve"> Champ Thornton</v>
      </c>
      <c r="C711" s="12" t="str">
        <f ca="1">IFERROR(__xludf.DUMMYFUNCTION("""COMPUTED_VALUE"""),"The Radical Book for Kids")</f>
        <v>The Radical Book for Kids</v>
      </c>
      <c r="D711" s="12"/>
      <c r="E711" s="12" t="str">
        <f ca="1">IFERROR(__xludf.DUMMYFUNCTION("""COMPUTED_VALUE"""),"Book")</f>
        <v>Book</v>
      </c>
      <c r="F711" s="12" t="str">
        <f ca="1">IFERROR(__xludf.DUMMYFUNCTION("""COMPUTED_VALUE"""),"Children")</f>
        <v>Children</v>
      </c>
      <c r="G711" s="12"/>
      <c r="H711" s="12"/>
      <c r="I711" s="12"/>
      <c r="J711" s="12"/>
      <c r="K711" s="13">
        <f ca="1">IFERROR(__xludf.DUMMYFUNCTION("""COMPUTED_VALUE"""),42694)</f>
        <v>42694</v>
      </c>
      <c r="L711" s="12"/>
      <c r="M711" s="12"/>
      <c r="N711" s="12" t="str">
        <f ca="1">IFERROR(__xludf.DUMMYFUNCTION("""COMPUTED_VALUE"""),"Table1")</f>
        <v>Table1</v>
      </c>
    </row>
    <row r="712" spans="1:14" ht="15.75" customHeight="1" x14ac:dyDescent="0.35">
      <c r="A712" s="12" t="str">
        <f ca="1">IFERROR(__xludf.DUMMYFUNCTION("""COMPUTED_VALUE"""),"Thornton, Champ")</f>
        <v>Thornton, Champ</v>
      </c>
      <c r="B712" s="12" t="str">
        <f ca="1">IFERROR(__xludf.DUMMYFUNCTION("""COMPUTED_VALUE""")," Champ Thornton")</f>
        <v xml:space="preserve"> Champ Thornton</v>
      </c>
      <c r="C712" s="12" t="str">
        <f ca="1">IFERROR(__xludf.DUMMYFUNCTION("""COMPUTED_VALUE"""),"Why Do We Say Good Night?")</f>
        <v>Why Do We Say Good Night?</v>
      </c>
      <c r="D712" s="12"/>
      <c r="E712" s="12" t="str">
        <f ca="1">IFERROR(__xludf.DUMMYFUNCTION("""COMPUTED_VALUE"""),"Book")</f>
        <v>Book</v>
      </c>
      <c r="F712" s="12" t="str">
        <f ca="1">IFERROR(__xludf.DUMMYFUNCTION("""COMPUTED_VALUE"""),"Children")</f>
        <v>Children</v>
      </c>
      <c r="G712" s="12"/>
      <c r="H712" s="12"/>
      <c r="I712" s="12"/>
      <c r="J712" s="12"/>
      <c r="K712" s="13">
        <f ca="1">IFERROR(__xludf.DUMMYFUNCTION("""COMPUTED_VALUE"""),43831)</f>
        <v>43831</v>
      </c>
      <c r="L712" s="12"/>
      <c r="M712" s="12"/>
      <c r="N712" s="12" t="str">
        <f ca="1">IFERROR(__xludf.DUMMYFUNCTION("""COMPUTED_VALUE"""),"Table1")</f>
        <v>Table1</v>
      </c>
    </row>
    <row r="713" spans="1:14" ht="15.75" customHeight="1" x14ac:dyDescent="0.35">
      <c r="A713" s="12" t="str">
        <f ca="1">IFERROR(__xludf.DUMMYFUNCTION("""COMPUTED_VALUE"""),"Thune, Robert H. ")</f>
        <v xml:space="preserve">Thune, Robert H. </v>
      </c>
      <c r="B713" s="12" t="str">
        <f ca="1">IFERROR(__xludf.DUMMYFUNCTION("""COMPUTED_VALUE""")," Robert H.  Thune")</f>
        <v xml:space="preserve"> Robert H.  Thune</v>
      </c>
      <c r="C713" s="12" t="str">
        <f ca="1">IFERROR(__xludf.DUMMYFUNCTION("""COMPUTED_VALUE"""),"Gospel Eldership")</f>
        <v>Gospel Eldership</v>
      </c>
      <c r="D713" s="12"/>
      <c r="E713" s="12" t="str">
        <f ca="1">IFERROR(__xludf.DUMMYFUNCTION("""COMPUTED_VALUE"""),"Book")</f>
        <v>Book</v>
      </c>
      <c r="F713" s="12" t="str">
        <f ca="1">IFERROR(__xludf.DUMMYFUNCTION("""COMPUTED_VALUE"""),"Church")</f>
        <v>Church</v>
      </c>
      <c r="G713" s="12"/>
      <c r="H713" s="12"/>
      <c r="I713" s="12"/>
      <c r="J713" s="12" t="str">
        <f ca="1">IFERROR(__xludf.DUMMYFUNCTION("""COMPUTED_VALUE"""),"Church Leaders")</f>
        <v>Church Leaders</v>
      </c>
      <c r="K713" s="13">
        <f ca="1">IFERROR(__xludf.DUMMYFUNCTION("""COMPUTED_VALUE"""),42511)</f>
        <v>42511</v>
      </c>
      <c r="L713" s="12"/>
      <c r="M713" s="12"/>
      <c r="N713" s="12" t="str">
        <f ca="1">IFERROR(__xludf.DUMMYFUNCTION("""COMPUTED_VALUE"""),"Table1")</f>
        <v>Table1</v>
      </c>
    </row>
    <row r="714" spans="1:14" ht="15.75" customHeight="1" x14ac:dyDescent="0.35">
      <c r="A714" s="12" t="str">
        <f ca="1">IFERROR(__xludf.DUMMYFUNCTION("""COMPUTED_VALUE"""),"Tozer, A.W.")</f>
        <v>Tozer, A.W.</v>
      </c>
      <c r="B714" s="12" t="str">
        <f ca="1">IFERROR(__xludf.DUMMYFUNCTION("""COMPUTED_VALUE""")," A.W. Tozer")</f>
        <v xml:space="preserve"> A.W. Tozer</v>
      </c>
      <c r="C714" s="12" t="str">
        <f ca="1">IFERROR(__xludf.DUMMYFUNCTION("""COMPUTED_VALUE"""),"Attributes of God, Volume 1")</f>
        <v>Attributes of God, Volume 1</v>
      </c>
      <c r="D714" s="12"/>
      <c r="E714" s="12" t="str">
        <f ca="1">IFERROR(__xludf.DUMMYFUNCTION("""COMPUTED_VALUE"""),"Book")</f>
        <v>Book</v>
      </c>
      <c r="F714" s="12" t="str">
        <f ca="1">IFERROR(__xludf.DUMMYFUNCTION("""COMPUTED_VALUE"""),"Theology")</f>
        <v>Theology</v>
      </c>
      <c r="G714" s="12"/>
      <c r="H714" s="12"/>
      <c r="I714" s="12"/>
      <c r="J714" s="12"/>
      <c r="K714" s="13">
        <f ca="1">IFERROR(__xludf.DUMMYFUNCTION("""COMPUTED_VALUE"""),40054)</f>
        <v>40054</v>
      </c>
      <c r="L714" s="12"/>
      <c r="M714" s="12"/>
      <c r="N714" s="12" t="str">
        <f ca="1">IFERROR(__xludf.DUMMYFUNCTION("""COMPUTED_VALUE"""),"Table1")</f>
        <v>Table1</v>
      </c>
    </row>
    <row r="715" spans="1:14" ht="15.75" customHeight="1" x14ac:dyDescent="0.35">
      <c r="A715" s="12" t="str">
        <f ca="1">IFERROR(__xludf.DUMMYFUNCTION("""COMPUTED_VALUE"""),"Tozer, A.W.")</f>
        <v>Tozer, A.W.</v>
      </c>
      <c r="B715" s="12" t="str">
        <f ca="1">IFERROR(__xludf.DUMMYFUNCTION("""COMPUTED_VALUE""")," A.W. Tozer")</f>
        <v xml:space="preserve"> A.W. Tozer</v>
      </c>
      <c r="C715" s="12" t="str">
        <f ca="1">IFERROR(__xludf.DUMMYFUNCTION("""COMPUTED_VALUE"""),"The Knowledge of the Holy")</f>
        <v>The Knowledge of the Holy</v>
      </c>
      <c r="D715" s="12"/>
      <c r="E715" s="12" t="str">
        <f ca="1">IFERROR(__xludf.DUMMYFUNCTION("""COMPUTED_VALUE"""),"Book")</f>
        <v>Book</v>
      </c>
      <c r="F715" s="12" t="str">
        <f ca="1">IFERROR(__xludf.DUMMYFUNCTION("""COMPUTED_VALUE"""),"Theology")</f>
        <v>Theology</v>
      </c>
      <c r="G715" s="12"/>
      <c r="H715" s="12"/>
      <c r="I715" s="12"/>
      <c r="J715" s="12"/>
      <c r="K715" s="13">
        <f ca="1">IFERROR(__xludf.DUMMYFUNCTION("""COMPUTED_VALUE"""),40055)</f>
        <v>40055</v>
      </c>
      <c r="L715" s="12"/>
      <c r="M715" s="12"/>
      <c r="N715" s="12" t="str">
        <f ca="1">IFERROR(__xludf.DUMMYFUNCTION("""COMPUTED_VALUE"""),"Table1")</f>
        <v>Table1</v>
      </c>
    </row>
    <row r="716" spans="1:14" ht="15.75" customHeight="1" x14ac:dyDescent="0.35">
      <c r="A716" s="12" t="str">
        <f ca="1">IFERROR(__xludf.DUMMYFUNCTION("""COMPUTED_VALUE"""),"Traeger, Sebastian")</f>
        <v>Traeger, Sebastian</v>
      </c>
      <c r="B716" s="12" t="str">
        <f ca="1">IFERROR(__xludf.DUMMYFUNCTION("""COMPUTED_VALUE""")," Sebastian Traeger")</f>
        <v xml:space="preserve"> Sebastian Traeger</v>
      </c>
      <c r="C716" s="12" t="str">
        <f ca="1">IFERROR(__xludf.DUMMYFUNCTION("""COMPUTED_VALUE"""),"The Gospel at Work: How the Gospel Gives New Purpose and Meaning to Our Jobs")</f>
        <v>The Gospel at Work: How the Gospel Gives New Purpose and Meaning to Our Jobs</v>
      </c>
      <c r="D716" s="12" t="str">
        <f ca="1">IFERROR(__xludf.DUMMYFUNCTION("""COMPUTED_VALUE"""),"Gilbert")</f>
        <v>Gilbert</v>
      </c>
      <c r="E716" s="12" t="str">
        <f ca="1">IFERROR(__xludf.DUMMYFUNCTION("""COMPUTED_VALUE"""),"Book")</f>
        <v>Book</v>
      </c>
      <c r="F716" s="12" t="str">
        <f ca="1">IFERROR(__xludf.DUMMYFUNCTION("""COMPUTED_VALUE"""),"Discipleship")</f>
        <v>Discipleship</v>
      </c>
      <c r="G716" s="12"/>
      <c r="H716" s="12"/>
      <c r="I716" s="12"/>
      <c r="J716" s="12" t="str">
        <f ca="1">IFERROR(__xludf.DUMMYFUNCTION("""COMPUTED_VALUE"""),"Gospel, Vocation")</f>
        <v>Gospel, Vocation</v>
      </c>
      <c r="K716" s="13">
        <f ca="1">IFERROR(__xludf.DUMMYFUNCTION("""COMPUTED_VALUE"""),41773)</f>
        <v>41773</v>
      </c>
      <c r="L716" s="12"/>
      <c r="M716" s="12"/>
      <c r="N716" s="12" t="str">
        <f ca="1">IFERROR(__xludf.DUMMYFUNCTION("""COMPUTED_VALUE"""),"Table1")</f>
        <v>Table1</v>
      </c>
    </row>
    <row r="717" spans="1:14" ht="15.75" customHeight="1" x14ac:dyDescent="0.35">
      <c r="A717" s="12" t="str">
        <f ca="1">IFERROR(__xludf.DUMMYFUNCTION("""COMPUTED_VALUE"""),"Travis, Lucille")</f>
        <v>Travis, Lucille</v>
      </c>
      <c r="B717" s="12" t="str">
        <f ca="1">IFERROR(__xludf.DUMMYFUNCTION("""COMPUTED_VALUE""")," Lucille Travis")</f>
        <v xml:space="preserve"> Lucille Travis</v>
      </c>
      <c r="C717" s="12" t="str">
        <f ca="1">IFERROR(__xludf.DUMMYFUNCTION("""COMPUTED_VALUE"""),"George Whitefield: The Voice That Woke the World")</f>
        <v>George Whitefield: The Voice That Woke the World</v>
      </c>
      <c r="D717" s="12" t="str">
        <f ca="1">IFERROR(__xludf.DUMMYFUNCTION("""COMPUTED_VALUE"""),"Trail Blazers")</f>
        <v>Trail Blazers</v>
      </c>
      <c r="E717" s="12" t="str">
        <f ca="1">IFERROR(__xludf.DUMMYFUNCTION("""COMPUTED_VALUE"""),"Book")</f>
        <v>Book</v>
      </c>
      <c r="F717" s="12" t="str">
        <f ca="1">IFERROR(__xludf.DUMMYFUNCTION("""COMPUTED_VALUE"""),"Children")</f>
        <v>Children</v>
      </c>
      <c r="G717" s="12"/>
      <c r="H717" s="12"/>
      <c r="I717" s="12"/>
      <c r="J717" s="12"/>
      <c r="K717" s="13">
        <f ca="1">IFERROR(__xludf.DUMMYFUNCTION("""COMPUTED_VALUE"""),41804)</f>
        <v>41804</v>
      </c>
      <c r="L717" s="12"/>
      <c r="M717" s="12"/>
      <c r="N717" s="12" t="str">
        <f ca="1">IFERROR(__xludf.DUMMYFUNCTION("""COMPUTED_VALUE"""),"Table1")</f>
        <v>Table1</v>
      </c>
    </row>
    <row r="718" spans="1:14" ht="15.75" customHeight="1" x14ac:dyDescent="0.35">
      <c r="A718" s="12" t="str">
        <f ca="1">IFERROR(__xludf.DUMMYFUNCTION("""COMPUTED_VALUE"""),"Travis, Lucille")</f>
        <v>Travis, Lucille</v>
      </c>
      <c r="B718" s="12" t="str">
        <f ca="1">IFERROR(__xludf.DUMMYFUNCTION("""COMPUTED_VALUE""")," Lucille Travis")</f>
        <v xml:space="preserve"> Lucille Travis</v>
      </c>
      <c r="C718" s="12" t="str">
        <f ca="1">IFERROR(__xludf.DUMMYFUNCTION("""COMPUTED_VALUE"""),"Paul Brand: The Shoes That Love Made")</f>
        <v>Paul Brand: The Shoes That Love Made</v>
      </c>
      <c r="D718" s="12" t="str">
        <f ca="1">IFERROR(__xludf.DUMMYFUNCTION("""COMPUTED_VALUE"""),"Trail Blazers")</f>
        <v>Trail Blazers</v>
      </c>
      <c r="E718" s="12" t="str">
        <f ca="1">IFERROR(__xludf.DUMMYFUNCTION("""COMPUTED_VALUE"""),"Book")</f>
        <v>Book</v>
      </c>
      <c r="F718" s="12" t="str">
        <f ca="1">IFERROR(__xludf.DUMMYFUNCTION("""COMPUTED_VALUE"""),"Children")</f>
        <v>Children</v>
      </c>
      <c r="G718" s="12"/>
      <c r="H718" s="12"/>
      <c r="I718" s="12"/>
      <c r="J718" s="12"/>
      <c r="K718" s="13">
        <f ca="1">IFERROR(__xludf.DUMMYFUNCTION("""COMPUTED_VALUE"""),41804)</f>
        <v>41804</v>
      </c>
      <c r="L718" s="12"/>
      <c r="M718" s="12"/>
      <c r="N718" s="12" t="str">
        <f ca="1">IFERROR(__xludf.DUMMYFUNCTION("""COMPUTED_VALUE"""),"Table1")</f>
        <v>Table1</v>
      </c>
    </row>
    <row r="719" spans="1:14" ht="15.75" customHeight="1" x14ac:dyDescent="0.35">
      <c r="A719" s="12" t="str">
        <f ca="1">IFERROR(__xludf.DUMMYFUNCTION("""COMPUTED_VALUE"""),"Tripp, Paul David")</f>
        <v>Tripp, Paul David</v>
      </c>
      <c r="B719" s="12" t="str">
        <f ca="1">IFERROR(__xludf.DUMMYFUNCTION("""COMPUTED_VALUE""")," Paul David Tripp")</f>
        <v xml:space="preserve"> Paul David Tripp</v>
      </c>
      <c r="C719" s="12" t="str">
        <f ca="1">IFERROR(__xludf.DUMMYFUNCTION("""COMPUTED_VALUE"""),"Age of Opportunity: A Biblical Guide to Parenting Teens")</f>
        <v>Age of Opportunity: A Biblical Guide to Parenting Teens</v>
      </c>
      <c r="D719" s="12"/>
      <c r="E719" s="12" t="str">
        <f ca="1">IFERROR(__xludf.DUMMYFUNCTION("""COMPUTED_VALUE"""),"Book")</f>
        <v>Book</v>
      </c>
      <c r="F719" s="12" t="str">
        <f ca="1">IFERROR(__xludf.DUMMYFUNCTION("""COMPUTED_VALUE"""),"Understanding Mankind")</f>
        <v>Understanding Mankind</v>
      </c>
      <c r="G719" s="12"/>
      <c r="H719" s="12"/>
      <c r="I719" s="12" t="str">
        <f ca="1">IFERROR(__xludf.DUMMYFUNCTION("""COMPUTED_VALUE"""),"Parenting")</f>
        <v>Parenting</v>
      </c>
      <c r="J719" s="12" t="str">
        <f ca="1">IFERROR(__xludf.DUMMYFUNCTION("""COMPUTED_VALUE"""),"Parenting, Teaching Youth")</f>
        <v>Parenting, Teaching Youth</v>
      </c>
      <c r="K719" s="13">
        <f ca="1">IFERROR(__xludf.DUMMYFUNCTION("""COMPUTED_VALUE"""),41621)</f>
        <v>41621</v>
      </c>
      <c r="L719" s="12"/>
      <c r="M719" s="12"/>
      <c r="N719" s="12" t="str">
        <f ca="1">IFERROR(__xludf.DUMMYFUNCTION("""COMPUTED_VALUE"""),"Table1")</f>
        <v>Table1</v>
      </c>
    </row>
    <row r="720" spans="1:14" ht="15.75" customHeight="1" x14ac:dyDescent="0.35">
      <c r="A720" s="12" t="str">
        <f ca="1">IFERROR(__xludf.DUMMYFUNCTION("""COMPUTED_VALUE"""),"Tripp, Paul David")</f>
        <v>Tripp, Paul David</v>
      </c>
      <c r="B720" s="12" t="str">
        <f ca="1">IFERROR(__xludf.DUMMYFUNCTION("""COMPUTED_VALUE""")," Paul David Tripp")</f>
        <v xml:space="preserve"> Paul David Tripp</v>
      </c>
      <c r="C720" s="12" t="str">
        <f ca="1">IFERROR(__xludf.DUMMYFUNCTION("""COMPUTED_VALUE"""),"Come Let Us Adore Him: A Daily Advent Devotional")</f>
        <v>Come Let Us Adore Him: A Daily Advent Devotional</v>
      </c>
      <c r="D720" s="12"/>
      <c r="E720" s="12" t="str">
        <f ca="1">IFERROR(__xludf.DUMMYFUNCTION("""COMPUTED_VALUE"""),"Book")</f>
        <v>Book</v>
      </c>
      <c r="F720" s="12" t="str">
        <f ca="1">IFERROR(__xludf.DUMMYFUNCTION("""COMPUTED_VALUE"""),"Discipleship")</f>
        <v>Discipleship</v>
      </c>
      <c r="G720" s="12"/>
      <c r="H720" s="12" t="str">
        <f ca="1">IFERROR(__xludf.DUMMYFUNCTION("""COMPUTED_VALUE"""),"Devotionals")</f>
        <v>Devotionals</v>
      </c>
      <c r="I720" s="12"/>
      <c r="J720" s="12"/>
      <c r="K720" s="13">
        <f ca="1">IFERROR(__xludf.DUMMYFUNCTION("""COMPUTED_VALUE"""),43046)</f>
        <v>43046</v>
      </c>
      <c r="L720" s="12"/>
      <c r="M720" s="12"/>
      <c r="N720" s="12" t="str">
        <f ca="1">IFERROR(__xludf.DUMMYFUNCTION("""COMPUTED_VALUE"""),"Table1")</f>
        <v>Table1</v>
      </c>
    </row>
    <row r="721" spans="1:14" ht="15.75" customHeight="1" x14ac:dyDescent="0.35">
      <c r="A721" s="12" t="str">
        <f ca="1">IFERROR(__xludf.DUMMYFUNCTION("""COMPUTED_VALUE"""),"Tripp, Paul David")</f>
        <v>Tripp, Paul David</v>
      </c>
      <c r="B721" s="12" t="str">
        <f ca="1">IFERROR(__xludf.DUMMYFUNCTION("""COMPUTED_VALUE""")," Paul David Tripp")</f>
        <v xml:space="preserve"> Paul David Tripp</v>
      </c>
      <c r="C721" s="12" t="str">
        <f ca="1">IFERROR(__xludf.DUMMYFUNCTION("""COMPUTED_VALUE"""),"Dangerous Calling: Confronting the Unique Challenges of Pastoral Ministry ")</f>
        <v xml:space="preserve">Dangerous Calling: Confronting the Unique Challenges of Pastoral Ministry </v>
      </c>
      <c r="D721" s="12"/>
      <c r="E721" s="12" t="str">
        <f ca="1">IFERROR(__xludf.DUMMYFUNCTION("""COMPUTED_VALUE"""),"Book")</f>
        <v>Book</v>
      </c>
      <c r="F721" s="12" t="str">
        <f ca="1">IFERROR(__xludf.DUMMYFUNCTION("""COMPUTED_VALUE"""),"Church")</f>
        <v>Church</v>
      </c>
      <c r="G721" s="12"/>
      <c r="H721" s="12"/>
      <c r="I721" s="12"/>
      <c r="J721" s="12" t="str">
        <f ca="1">IFERROR(__xludf.DUMMYFUNCTION("""COMPUTED_VALUE"""),"Church Leaders")</f>
        <v>Church Leaders</v>
      </c>
      <c r="K721" s="13">
        <f ca="1">IFERROR(__xludf.DUMMYFUNCTION("""COMPUTED_VALUE"""),41287)</f>
        <v>41287</v>
      </c>
      <c r="L721" s="12"/>
      <c r="M721" s="12"/>
      <c r="N721" s="12" t="str">
        <f ca="1">IFERROR(__xludf.DUMMYFUNCTION("""COMPUTED_VALUE"""),"Table1")</f>
        <v>Table1</v>
      </c>
    </row>
    <row r="722" spans="1:14" ht="15.75" customHeight="1" x14ac:dyDescent="0.35">
      <c r="A722" s="12" t="str">
        <f ca="1">IFERROR(__xludf.DUMMYFUNCTION("""COMPUTED_VALUE"""),"Tripp, Paul David")</f>
        <v>Tripp, Paul David</v>
      </c>
      <c r="B722" s="12" t="str">
        <f ca="1">IFERROR(__xludf.DUMMYFUNCTION("""COMPUTED_VALUE""")," Paul David Tripp")</f>
        <v xml:space="preserve"> Paul David Tripp</v>
      </c>
      <c r="C722" s="12" t="str">
        <f ca="1">IFERROR(__xludf.DUMMYFUNCTION("""COMPUTED_VALUE"""),"Instruments in the Redeemer's Hands")</f>
        <v>Instruments in the Redeemer's Hands</v>
      </c>
      <c r="D722" s="12"/>
      <c r="E722" s="12" t="str">
        <f ca="1">IFERROR(__xludf.DUMMYFUNCTION("""COMPUTED_VALUE"""),"Book")</f>
        <v>Book</v>
      </c>
      <c r="F722" s="12" t="str">
        <f ca="1">IFERROR(__xludf.DUMMYFUNCTION("""COMPUTED_VALUE"""),"Discipleship")</f>
        <v>Discipleship</v>
      </c>
      <c r="G722" s="12"/>
      <c r="H722" s="12"/>
      <c r="I722" s="12"/>
      <c r="J722" s="12"/>
      <c r="K722" s="13">
        <f ca="1">IFERROR(__xludf.DUMMYFUNCTION("""COMPUTED_VALUE"""),40026)</f>
        <v>40026</v>
      </c>
      <c r="L722" s="12"/>
      <c r="M722" s="12"/>
      <c r="N722" s="12" t="str">
        <f ca="1">IFERROR(__xludf.DUMMYFUNCTION("""COMPUTED_VALUE"""),"Table1")</f>
        <v>Table1</v>
      </c>
    </row>
    <row r="723" spans="1:14" ht="15.75" customHeight="1" x14ac:dyDescent="0.35">
      <c r="A723" s="12" t="str">
        <f ca="1">IFERROR(__xludf.DUMMYFUNCTION("""COMPUTED_VALUE"""),"Tripp, Paul David")</f>
        <v>Tripp, Paul David</v>
      </c>
      <c r="B723" s="12" t="str">
        <f ca="1">IFERROR(__xludf.DUMMYFUNCTION("""COMPUTED_VALUE""")," Paul David Tripp")</f>
        <v xml:space="preserve"> Paul David Tripp</v>
      </c>
      <c r="C723" s="12" t="str">
        <f ca="1">IFERROR(__xludf.DUMMYFUNCTION("""COMPUTED_VALUE"""),"Lost in the Middle: Midlife and the Grace of God")</f>
        <v>Lost in the Middle: Midlife and the Grace of God</v>
      </c>
      <c r="D723" s="12"/>
      <c r="E723" s="12" t="str">
        <f ca="1">IFERROR(__xludf.DUMMYFUNCTION("""COMPUTED_VALUE"""),"Book")</f>
        <v>Book</v>
      </c>
      <c r="F723" s="12" t="str">
        <f ca="1">IFERROR(__xludf.DUMMYFUNCTION("""COMPUTED_VALUE"""),"Understanding Mankind")</f>
        <v>Understanding Mankind</v>
      </c>
      <c r="G723" s="12"/>
      <c r="H723" s="12"/>
      <c r="I723" s="12"/>
      <c r="J723" s="12" t="str">
        <f ca="1">IFERROR(__xludf.DUMMYFUNCTION("""COMPUTED_VALUE"""),"Aging")</f>
        <v>Aging</v>
      </c>
      <c r="K723" s="13">
        <f ca="1">IFERROR(__xludf.DUMMYFUNCTION("""COMPUTED_VALUE"""),40035)</f>
        <v>40035</v>
      </c>
      <c r="L723" s="12"/>
      <c r="M723" s="12"/>
      <c r="N723" s="12" t="str">
        <f ca="1">IFERROR(__xludf.DUMMYFUNCTION("""COMPUTED_VALUE"""),"Table1")</f>
        <v>Table1</v>
      </c>
    </row>
    <row r="724" spans="1:14" ht="15.75" customHeight="1" x14ac:dyDescent="0.35">
      <c r="A724" s="12" t="str">
        <f ca="1">IFERROR(__xludf.DUMMYFUNCTION("""COMPUTED_VALUE"""),"Tripp, Paul David")</f>
        <v>Tripp, Paul David</v>
      </c>
      <c r="B724" s="12" t="str">
        <f ca="1">IFERROR(__xludf.DUMMYFUNCTION("""COMPUTED_VALUE""")," Paul David Tripp")</f>
        <v xml:space="preserve"> Paul David Tripp</v>
      </c>
      <c r="C724" s="12" t="str">
        <f ca="1">IFERROR(__xludf.DUMMYFUNCTION("""COMPUTED_VALUE"""),"New Morning Mercies")</f>
        <v>New Morning Mercies</v>
      </c>
      <c r="D724" s="12"/>
      <c r="E724" s="12" t="str">
        <f ca="1">IFERROR(__xludf.DUMMYFUNCTION("""COMPUTED_VALUE"""),"Book")</f>
        <v>Book</v>
      </c>
      <c r="F724" s="12" t="str">
        <f ca="1">IFERROR(__xludf.DUMMYFUNCTION("""COMPUTED_VALUE"""),"Discipleship")</f>
        <v>Discipleship</v>
      </c>
      <c r="G724" s="12"/>
      <c r="H724" s="12"/>
      <c r="I724" s="12"/>
      <c r="J724" s="12"/>
      <c r="K724" s="13">
        <f ca="1">IFERROR(__xludf.DUMMYFUNCTION("""COMPUTED_VALUE"""),42019)</f>
        <v>42019</v>
      </c>
      <c r="L724" s="12"/>
      <c r="M724" s="12"/>
      <c r="N724" s="12" t="str">
        <f ca="1">IFERROR(__xludf.DUMMYFUNCTION("""COMPUTED_VALUE"""),"Table1")</f>
        <v>Table1</v>
      </c>
    </row>
    <row r="725" spans="1:14" ht="15.75" customHeight="1" x14ac:dyDescent="0.35">
      <c r="A725" s="12" t="str">
        <f ca="1">IFERROR(__xludf.DUMMYFUNCTION("""COMPUTED_VALUE"""),"Tripp, Paul David")</f>
        <v>Tripp, Paul David</v>
      </c>
      <c r="B725" s="12" t="str">
        <f ca="1">IFERROR(__xludf.DUMMYFUNCTION("""COMPUTED_VALUE""")," Paul David Tripp")</f>
        <v xml:space="preserve"> Paul David Tripp</v>
      </c>
      <c r="C725" s="12" t="str">
        <f ca="1">IFERROR(__xludf.DUMMYFUNCTION("""COMPUTED_VALUE"""),"On Parenting")</f>
        <v>On Parenting</v>
      </c>
      <c r="D725" s="12" t="str">
        <f ca="1">IFERROR(__xludf.DUMMYFUNCTION("""COMPUTED_VALUE"""),"JBC Must Reads")</f>
        <v>JBC Must Reads</v>
      </c>
      <c r="E725" s="12" t="str">
        <f ca="1">IFERROR(__xludf.DUMMYFUNCTION("""COMPUTED_VALUE"""),"Book")</f>
        <v>Book</v>
      </c>
      <c r="F725" s="12" t="str">
        <f ca="1">IFERROR(__xludf.DUMMYFUNCTION("""COMPUTED_VALUE"""),"Understanding Mankind")</f>
        <v>Understanding Mankind</v>
      </c>
      <c r="G725" s="12"/>
      <c r="H725" s="12"/>
      <c r="I725" s="12"/>
      <c r="J725" s="12" t="str">
        <f ca="1">IFERROR(__xludf.DUMMYFUNCTION("""COMPUTED_VALUE"""),"Parenting")</f>
        <v>Parenting</v>
      </c>
      <c r="K725" s="13">
        <f ca="1">IFERROR(__xludf.DUMMYFUNCTION("""COMPUTED_VALUE"""),41774)</f>
        <v>41774</v>
      </c>
      <c r="L725" s="12"/>
      <c r="M725" s="12"/>
      <c r="N725" s="12" t="str">
        <f ca="1">IFERROR(__xludf.DUMMYFUNCTION("""COMPUTED_VALUE"""),"Table1")</f>
        <v>Table1</v>
      </c>
    </row>
    <row r="726" spans="1:14" ht="15.75" customHeight="1" x14ac:dyDescent="0.35">
      <c r="A726" s="12" t="str">
        <f ca="1">IFERROR(__xludf.DUMMYFUNCTION("""COMPUTED_VALUE"""),"Tripp, Paul David")</f>
        <v>Tripp, Paul David</v>
      </c>
      <c r="B726" s="12" t="str">
        <f ca="1">IFERROR(__xludf.DUMMYFUNCTION("""COMPUTED_VALUE""")," Paul David Tripp")</f>
        <v xml:space="preserve"> Paul David Tripp</v>
      </c>
      <c r="C726" s="12" t="str">
        <f ca="1">IFERROR(__xludf.DUMMYFUNCTION("""COMPUTED_VALUE"""),"Parenting")</f>
        <v>Parenting</v>
      </c>
      <c r="D726" s="12"/>
      <c r="E726" s="12" t="str">
        <f ca="1">IFERROR(__xludf.DUMMYFUNCTION("""COMPUTED_VALUE"""),"Book")</f>
        <v>Book</v>
      </c>
      <c r="F726" s="12" t="str">
        <f ca="1">IFERROR(__xludf.DUMMYFUNCTION("""COMPUTED_VALUE"""),"Understanding Mankind")</f>
        <v>Understanding Mankind</v>
      </c>
      <c r="G726" s="12"/>
      <c r="H726" s="12"/>
      <c r="I726" s="12" t="str">
        <f ca="1">IFERROR(__xludf.DUMMYFUNCTION("""COMPUTED_VALUE"""),"Parenting")</f>
        <v>Parenting</v>
      </c>
      <c r="J726" s="12"/>
      <c r="K726" s="13">
        <f ca="1">IFERROR(__xludf.DUMMYFUNCTION("""COMPUTED_VALUE"""),43046)</f>
        <v>43046</v>
      </c>
      <c r="L726" s="12"/>
      <c r="M726" s="12"/>
      <c r="N726" s="12" t="str">
        <f ca="1">IFERROR(__xludf.DUMMYFUNCTION("""COMPUTED_VALUE"""),"Table1")</f>
        <v>Table1</v>
      </c>
    </row>
    <row r="727" spans="1:14" ht="15.75" customHeight="1" x14ac:dyDescent="0.35">
      <c r="A727" s="12" t="str">
        <f ca="1">IFERROR(__xludf.DUMMYFUNCTION("""COMPUTED_VALUE"""),"Tripp, Paul David")</f>
        <v>Tripp, Paul David</v>
      </c>
      <c r="B727" s="12" t="str">
        <f ca="1">IFERROR(__xludf.DUMMYFUNCTION("""COMPUTED_VALUE""")," Paul David Tripp")</f>
        <v xml:space="preserve"> Paul David Tripp</v>
      </c>
      <c r="C727" s="12" t="str">
        <f ca="1">IFERROR(__xludf.DUMMYFUNCTION("""COMPUTED_VALUE"""),"A Quest for More")</f>
        <v>A Quest for More</v>
      </c>
      <c r="D727" s="12"/>
      <c r="E727" s="12" t="str">
        <f ca="1">IFERROR(__xludf.DUMMYFUNCTION("""COMPUTED_VALUE"""),"Book")</f>
        <v>Book</v>
      </c>
      <c r="F727" s="12" t="str">
        <f ca="1">IFERROR(__xludf.DUMMYFUNCTION("""COMPUTED_VALUE"""),"Discipleship")</f>
        <v>Discipleship</v>
      </c>
      <c r="G727" s="12"/>
      <c r="H727" s="12"/>
      <c r="I727" s="12"/>
      <c r="J727" s="12"/>
      <c r="K727" s="13">
        <f ca="1">IFERROR(__xludf.DUMMYFUNCTION("""COMPUTED_VALUE"""),40036)</f>
        <v>40036</v>
      </c>
      <c r="L727" s="12"/>
      <c r="M727" s="12"/>
      <c r="N727" s="12" t="str">
        <f ca="1">IFERROR(__xludf.DUMMYFUNCTION("""COMPUTED_VALUE"""),"Table1")</f>
        <v>Table1</v>
      </c>
    </row>
    <row r="728" spans="1:14" ht="15.75" customHeight="1" x14ac:dyDescent="0.35">
      <c r="A728" s="12" t="str">
        <f ca="1">IFERROR(__xludf.DUMMYFUNCTION("""COMPUTED_VALUE"""),"Tripp, Paul David")</f>
        <v>Tripp, Paul David</v>
      </c>
      <c r="B728" s="12" t="str">
        <f ca="1">IFERROR(__xludf.DUMMYFUNCTION("""COMPUTED_VALUE""")," Paul David Tripp")</f>
        <v xml:space="preserve"> Paul David Tripp</v>
      </c>
      <c r="C728" s="12" t="str">
        <f ca="1">IFERROR(__xludf.DUMMYFUNCTION("""COMPUTED_VALUE"""),"Sex &amp; Money")</f>
        <v>Sex &amp; Money</v>
      </c>
      <c r="D728" s="12"/>
      <c r="E728" s="12" t="str">
        <f ca="1">IFERROR(__xludf.DUMMYFUNCTION("""COMPUTED_VALUE"""),"Book")</f>
        <v>Book</v>
      </c>
      <c r="F728" s="12" t="str">
        <f ca="1">IFERROR(__xludf.DUMMYFUNCTION("""COMPUTED_VALUE"""),"Understanding Mankind")</f>
        <v>Understanding Mankind</v>
      </c>
      <c r="G728" s="12"/>
      <c r="H728" s="12"/>
      <c r="I728" s="12"/>
      <c r="J728" s="12" t="str">
        <f ca="1">IFERROR(__xludf.DUMMYFUNCTION("""COMPUTED_VALUE"""),"Sexuality, Finances")</f>
        <v>Sexuality, Finances</v>
      </c>
      <c r="K728" s="13">
        <f ca="1">IFERROR(__xludf.DUMMYFUNCTION("""COMPUTED_VALUE"""),41468)</f>
        <v>41468</v>
      </c>
      <c r="L728" s="12"/>
      <c r="M728" s="12"/>
      <c r="N728" s="12" t="str">
        <f ca="1">IFERROR(__xludf.DUMMYFUNCTION("""COMPUTED_VALUE"""),"Table1")</f>
        <v>Table1</v>
      </c>
    </row>
    <row r="729" spans="1:14" ht="15.75" customHeight="1" x14ac:dyDescent="0.35">
      <c r="A729" s="12" t="str">
        <f ca="1">IFERROR(__xludf.DUMMYFUNCTION("""COMPUTED_VALUE"""),"Tripp, Paul David")</f>
        <v>Tripp, Paul David</v>
      </c>
      <c r="B729" s="12" t="str">
        <f ca="1">IFERROR(__xludf.DUMMYFUNCTION("""COMPUTED_VALUE""")," Paul David Tripp")</f>
        <v xml:space="preserve"> Paul David Tripp</v>
      </c>
      <c r="C729" s="12" t="str">
        <f ca="1">IFERROR(__xludf.DUMMYFUNCTION("""COMPUTED_VALUE"""),"Suffering: Gospel Hope When Life Doesn't Make Sense")</f>
        <v>Suffering: Gospel Hope When Life Doesn't Make Sense</v>
      </c>
      <c r="D729" s="12"/>
      <c r="E729" s="12" t="str">
        <f ca="1">IFERROR(__xludf.DUMMYFUNCTION("""COMPUTED_VALUE"""),"Book")</f>
        <v>Book</v>
      </c>
      <c r="F729" s="12" t="str">
        <f ca="1">IFERROR(__xludf.DUMMYFUNCTION("""COMPUTED_VALUE"""),"Understanding Mankind")</f>
        <v>Understanding Mankind</v>
      </c>
      <c r="G729" s="12"/>
      <c r="H729" s="12"/>
      <c r="I729" s="12"/>
      <c r="J729" s="12" t="str">
        <f ca="1">IFERROR(__xludf.DUMMYFUNCTION("""COMPUTED_VALUE"""),"Suffering")</f>
        <v>Suffering</v>
      </c>
      <c r="K729" s="13"/>
      <c r="L729" s="12"/>
      <c r="M729" s="12"/>
      <c r="N729" s="12" t="str">
        <f ca="1">IFERROR(__xludf.DUMMYFUNCTION("""COMPUTED_VALUE"""),"Table1")</f>
        <v>Table1</v>
      </c>
    </row>
    <row r="730" spans="1:14" ht="15.75" customHeight="1" x14ac:dyDescent="0.35">
      <c r="A730" s="12" t="str">
        <f ca="1">IFERROR(__xludf.DUMMYFUNCTION("""COMPUTED_VALUE"""),"Tripp, Paul David")</f>
        <v>Tripp, Paul David</v>
      </c>
      <c r="B730" s="12" t="str">
        <f ca="1">IFERROR(__xludf.DUMMYFUNCTION("""COMPUTED_VALUE""")," Paul David Tripp")</f>
        <v xml:space="preserve"> Paul David Tripp</v>
      </c>
      <c r="C730" s="12" t="str">
        <f ca="1">IFERROR(__xludf.DUMMYFUNCTION("""COMPUTED_VALUE"""),"War of Words: Getting to the Heart of Your Communication Struggles")</f>
        <v>War of Words: Getting to the Heart of Your Communication Struggles</v>
      </c>
      <c r="D730" s="12"/>
      <c r="E730" s="12" t="str">
        <f ca="1">IFERROR(__xludf.DUMMYFUNCTION("""COMPUTED_VALUE"""),"Book")</f>
        <v>Book</v>
      </c>
      <c r="F730" s="12" t="str">
        <f ca="1">IFERROR(__xludf.DUMMYFUNCTION("""COMPUTED_VALUE"""),"Understanding Mankind")</f>
        <v>Understanding Mankind</v>
      </c>
      <c r="G730" s="12"/>
      <c r="H730" s="12"/>
      <c r="I730" s="12"/>
      <c r="J730" s="12" t="str">
        <f ca="1">IFERROR(__xludf.DUMMYFUNCTION("""COMPUTED_VALUE"""),"Relationships")</f>
        <v>Relationships</v>
      </c>
      <c r="K730" s="13">
        <f ca="1">IFERROR(__xludf.DUMMYFUNCTION("""COMPUTED_VALUE"""),40037)</f>
        <v>40037</v>
      </c>
      <c r="L730" s="12"/>
      <c r="M730" s="12"/>
      <c r="N730" s="12" t="str">
        <f ca="1">IFERROR(__xludf.DUMMYFUNCTION("""COMPUTED_VALUE"""),"Table1")</f>
        <v>Table1</v>
      </c>
    </row>
    <row r="731" spans="1:14" ht="15.75" customHeight="1" x14ac:dyDescent="0.35">
      <c r="A731" s="12" t="str">
        <f ca="1">IFERROR(__xludf.DUMMYFUNCTION("""COMPUTED_VALUE"""),"Tripp, Paul David")</f>
        <v>Tripp, Paul David</v>
      </c>
      <c r="B731" s="12" t="str">
        <f ca="1">IFERROR(__xludf.DUMMYFUNCTION("""COMPUTED_VALUE""")," Paul David Tripp")</f>
        <v xml:space="preserve"> Paul David Tripp</v>
      </c>
      <c r="C731" s="12" t="str">
        <f ca="1">IFERROR(__xludf.DUMMYFUNCTION("""COMPUTED_VALUE"""),"What Did You Expect?: Redeeming the Realities of Marriage")</f>
        <v>What Did You Expect?: Redeeming the Realities of Marriage</v>
      </c>
      <c r="D731" s="12"/>
      <c r="E731" s="12" t="str">
        <f ca="1">IFERROR(__xludf.DUMMYFUNCTION("""COMPUTED_VALUE"""),"Book")</f>
        <v>Book</v>
      </c>
      <c r="F731" s="12" t="str">
        <f ca="1">IFERROR(__xludf.DUMMYFUNCTION("""COMPUTED_VALUE"""),"Understanding Mankind")</f>
        <v>Understanding Mankind</v>
      </c>
      <c r="G731" s="12"/>
      <c r="H731" s="12"/>
      <c r="I731" s="12"/>
      <c r="J731" s="12" t="str">
        <f ca="1">IFERROR(__xludf.DUMMYFUNCTION("""COMPUTED_VALUE"""),"Marriage")</f>
        <v>Marriage</v>
      </c>
      <c r="K731" s="13">
        <f ca="1">IFERROR(__xludf.DUMMYFUNCTION("""COMPUTED_VALUE"""),40766)</f>
        <v>40766</v>
      </c>
      <c r="L731" s="12"/>
      <c r="M731" s="12"/>
      <c r="N731" s="12" t="str">
        <f ca="1">IFERROR(__xludf.DUMMYFUNCTION("""COMPUTED_VALUE"""),"Table1")</f>
        <v>Table1</v>
      </c>
    </row>
    <row r="732" spans="1:14" ht="15.75" customHeight="1" x14ac:dyDescent="0.35">
      <c r="A732" s="12" t="str">
        <f ca="1">IFERROR(__xludf.DUMMYFUNCTION("""COMPUTED_VALUE"""),"Tripp, Paul David (editor)")</f>
        <v>Tripp, Paul David (editor)</v>
      </c>
      <c r="B732" s="12" t="str">
        <f ca="1">IFERROR(__xludf.DUMMYFUNCTION("""COMPUTED_VALUE""")," Paul David (editor) Tripp")</f>
        <v xml:space="preserve"> Paul David (editor) Tripp</v>
      </c>
      <c r="C732" s="12" t="str">
        <f ca="1">IFERROR(__xludf.DUMMYFUNCTION("""COMPUTED_VALUE"""),"Halle Takes a Stand: When You Want to Fit In")</f>
        <v>Halle Takes a Stand: When You Want to Fit In</v>
      </c>
      <c r="D732" s="12" t="str">
        <f ca="1">IFERROR(__xludf.DUMMYFUNCTION("""COMPUTED_VALUE"""),"Good News for Little Hearts")</f>
        <v>Good News for Little Hearts</v>
      </c>
      <c r="E732" s="12" t="str">
        <f ca="1">IFERROR(__xludf.DUMMYFUNCTION("""COMPUTED_VALUE"""),"Book")</f>
        <v>Book</v>
      </c>
      <c r="F732" s="12" t="str">
        <f ca="1">IFERROR(__xludf.DUMMYFUNCTION("""COMPUTED_VALUE"""),"Children")</f>
        <v>Children</v>
      </c>
      <c r="G732" s="12"/>
      <c r="H732" s="12"/>
      <c r="I732" s="12" t="str">
        <f ca="1">IFERROR(__xludf.DUMMYFUNCTION("""COMPUTED_VALUE"""),"Peer Pressure")</f>
        <v>Peer Pressure</v>
      </c>
      <c r="J732" s="12"/>
      <c r="K732" s="13">
        <f ca="1">IFERROR(__xludf.DUMMYFUNCTION("""COMPUTED_VALUE"""),43832)</f>
        <v>43832</v>
      </c>
      <c r="L732" s="12"/>
      <c r="M732" s="12"/>
      <c r="N732" s="12" t="str">
        <f ca="1">IFERROR(__xludf.DUMMYFUNCTION("""COMPUTED_VALUE"""),"Table1")</f>
        <v>Table1</v>
      </c>
    </row>
    <row r="733" spans="1:14" ht="15.75" customHeight="1" x14ac:dyDescent="0.35">
      <c r="A733" s="12" t="str">
        <f ca="1">IFERROR(__xludf.DUMMYFUNCTION("""COMPUTED_VALUE"""),"Tripp, Tedd")</f>
        <v>Tripp, Tedd</v>
      </c>
      <c r="B733" s="12" t="str">
        <f ca="1">IFERROR(__xludf.DUMMYFUNCTION("""COMPUTED_VALUE""")," Tedd Tripp")</f>
        <v xml:space="preserve"> Tedd Tripp</v>
      </c>
      <c r="C733" s="12" t="str">
        <f ca="1">IFERROR(__xludf.DUMMYFUNCTION("""COMPUTED_VALUE"""),"Shepherding a Child's Heart")</f>
        <v>Shepherding a Child's Heart</v>
      </c>
      <c r="D733" s="12"/>
      <c r="E733" s="12" t="str">
        <f ca="1">IFERROR(__xludf.DUMMYFUNCTION("""COMPUTED_VALUE"""),"Book")</f>
        <v>Book</v>
      </c>
      <c r="F733" s="12" t="str">
        <f ca="1">IFERROR(__xludf.DUMMYFUNCTION("""COMPUTED_VALUE"""),"Understanding Mankind")</f>
        <v>Understanding Mankind</v>
      </c>
      <c r="G733" s="12"/>
      <c r="H733" s="12"/>
      <c r="I733" s="12" t="str">
        <f ca="1">IFERROR(__xludf.DUMMYFUNCTION("""COMPUTED_VALUE"""),"Parenting")</f>
        <v>Parenting</v>
      </c>
      <c r="J733" s="12" t="str">
        <f ca="1">IFERROR(__xludf.DUMMYFUNCTION("""COMPUTED_VALUE"""),"Parenting, Teaching Children")</f>
        <v>Parenting, Teaching Children</v>
      </c>
      <c r="K733" s="13">
        <f ca="1">IFERROR(__xludf.DUMMYFUNCTION("""COMPUTED_VALUE"""),40308)</f>
        <v>40308</v>
      </c>
      <c r="L733" s="12"/>
      <c r="M733" s="12"/>
      <c r="N733" s="12" t="str">
        <f ca="1">IFERROR(__xludf.DUMMYFUNCTION("""COMPUTED_VALUE"""),"Table1")</f>
        <v>Table1</v>
      </c>
    </row>
    <row r="734" spans="1:14" ht="15.75" customHeight="1" x14ac:dyDescent="0.35">
      <c r="A734" s="12" t="str">
        <f ca="1">IFERROR(__xludf.DUMMYFUNCTION("""COMPUTED_VALUE"""),"Trueman, Carl R.")</f>
        <v>Trueman, Carl R.</v>
      </c>
      <c r="B734" s="12" t="str">
        <f ca="1">IFERROR(__xludf.DUMMYFUNCTION("""COMPUTED_VALUE""")," Carl R. Trueman")</f>
        <v xml:space="preserve"> Carl R. Trueman</v>
      </c>
      <c r="C734" s="12" t="str">
        <f ca="1">IFERROR(__xludf.DUMMYFUNCTION("""COMPUTED_VALUE"""),"Fools Rush In  Where Monkeys Fear to Tread: Taking Aim at Everyone")</f>
        <v>Fools Rush In  Where Monkeys Fear to Tread: Taking Aim at Everyone</v>
      </c>
      <c r="D734" s="12"/>
      <c r="E734" s="12" t="str">
        <f ca="1">IFERROR(__xludf.DUMMYFUNCTION("""COMPUTED_VALUE"""),"Book")</f>
        <v>Book</v>
      </c>
      <c r="F734" s="12" t="str">
        <f ca="1">IFERROR(__xludf.DUMMYFUNCTION("""COMPUTED_VALUE"""),"Worldview")</f>
        <v>Worldview</v>
      </c>
      <c r="G734" s="12"/>
      <c r="H734" s="12"/>
      <c r="I734" s="12"/>
      <c r="J734" s="12" t="str">
        <f ca="1">IFERROR(__xludf.DUMMYFUNCTION("""COMPUTED_VALUE"""),"Church, Culture")</f>
        <v>Church, Culture</v>
      </c>
      <c r="K734" s="13">
        <f ca="1">IFERROR(__xludf.DUMMYFUNCTION("""COMPUTED_VALUE"""),43160)</f>
        <v>43160</v>
      </c>
      <c r="L734" s="12"/>
      <c r="M734" s="12"/>
      <c r="N734" s="12" t="str">
        <f ca="1">IFERROR(__xludf.DUMMYFUNCTION("""COMPUTED_VALUE"""),"Table1")</f>
        <v>Table1</v>
      </c>
    </row>
    <row r="735" spans="1:14" ht="15.75" customHeight="1" x14ac:dyDescent="0.35">
      <c r="A735" s="12" t="str">
        <f ca="1">IFERROR(__xludf.DUMMYFUNCTION("""COMPUTED_VALUE"""),"Trueman, Carl R.")</f>
        <v>Trueman, Carl R.</v>
      </c>
      <c r="B735" s="12" t="str">
        <f ca="1">IFERROR(__xludf.DUMMYFUNCTION("""COMPUTED_VALUE""")," Carl R. Trueman")</f>
        <v xml:space="preserve"> Carl R. Trueman</v>
      </c>
      <c r="C735" s="12" t="str">
        <f ca="1">IFERROR(__xludf.DUMMYFUNCTION("""COMPUTED_VALUE"""),"Grace Alone: Salvation as a Gift of God")</f>
        <v>Grace Alone: Salvation as a Gift of God</v>
      </c>
      <c r="D735" s="12" t="str">
        <f ca="1">IFERROR(__xludf.DUMMYFUNCTION("""COMPUTED_VALUE"""),"5 Solas")</f>
        <v>5 Solas</v>
      </c>
      <c r="E735" s="12" t="str">
        <f ca="1">IFERROR(__xludf.DUMMYFUNCTION("""COMPUTED_VALUE"""),"Book")</f>
        <v>Book</v>
      </c>
      <c r="F735" s="12" t="str">
        <f ca="1">IFERROR(__xludf.DUMMYFUNCTION("""COMPUTED_VALUE"""),"Theology")</f>
        <v>Theology</v>
      </c>
      <c r="G735" s="12" t="str">
        <f ca="1">IFERROR(__xludf.DUMMYFUNCTION("""COMPUTED_VALUE"""),"Salvation")</f>
        <v>Salvation</v>
      </c>
      <c r="H735" s="12"/>
      <c r="I735" s="12"/>
      <c r="J735" s="12"/>
      <c r="K735" s="13">
        <f ca="1">IFERROR(__xludf.DUMMYFUNCTION("""COMPUTED_VALUE"""),43211)</f>
        <v>43211</v>
      </c>
      <c r="L735" s="12"/>
      <c r="M735" s="12"/>
      <c r="N735" s="12" t="str">
        <f ca="1">IFERROR(__xludf.DUMMYFUNCTION("""COMPUTED_VALUE"""),"Table1")</f>
        <v>Table1</v>
      </c>
    </row>
    <row r="736" spans="1:14" ht="15.75" customHeight="1" x14ac:dyDescent="0.35">
      <c r="A736" s="12" t="str">
        <f ca="1">IFERROR(__xludf.DUMMYFUNCTION("""COMPUTED_VALUE"""),"Trueman, Carl R.")</f>
        <v>Trueman, Carl R.</v>
      </c>
      <c r="B736" s="12" t="str">
        <f ca="1">IFERROR(__xludf.DUMMYFUNCTION("""COMPUTED_VALUE""")," Carl R. Trueman")</f>
        <v xml:space="preserve"> Carl R. Trueman</v>
      </c>
      <c r="C736" s="12" t="str">
        <f ca="1">IFERROR(__xludf.DUMMYFUNCTION("""COMPUTED_VALUE"""),"Strange New World: How Thinkers and Activists Redefined Identity and Sparked the Sexual Revolution")</f>
        <v>Strange New World: How Thinkers and Activists Redefined Identity and Sparked the Sexual Revolution</v>
      </c>
      <c r="D736" s="12"/>
      <c r="E736" s="12" t="str">
        <f ca="1">IFERROR(__xludf.DUMMYFUNCTION("""COMPUTED_VALUE"""),"Book")</f>
        <v>Book</v>
      </c>
      <c r="F736" s="12" t="str">
        <f ca="1">IFERROR(__xludf.DUMMYFUNCTION("""COMPUTED_VALUE"""),"Understanding Mankind")</f>
        <v>Understanding Mankind</v>
      </c>
      <c r="G736" s="12"/>
      <c r="H736" s="12"/>
      <c r="I736" s="12"/>
      <c r="J736" s="12"/>
      <c r="K736" s="13">
        <f ca="1">IFERROR(__xludf.DUMMYFUNCTION("""COMPUTED_VALUE"""),44772)</f>
        <v>44772</v>
      </c>
      <c r="L736" s="12"/>
      <c r="M736" s="12"/>
      <c r="N736" s="12" t="str">
        <f ca="1">IFERROR(__xludf.DUMMYFUNCTION("""COMPUTED_VALUE"""),"Table1")</f>
        <v>Table1</v>
      </c>
    </row>
    <row r="737" spans="1:14" ht="15.75" customHeight="1" x14ac:dyDescent="0.35">
      <c r="A737" s="12" t="str">
        <f ca="1">IFERROR(__xludf.DUMMYFUNCTION("""COMPUTED_VALUE"""),"Van Der Velde, Abigail")</f>
        <v>Van Der Velde, Abigail</v>
      </c>
      <c r="B737" s="12" t="str">
        <f ca="1">IFERROR(__xludf.DUMMYFUNCTION("""COMPUTED_VALUE""")," Abigail Van Der Velde")</f>
        <v xml:space="preserve"> Abigail Van Der Velde</v>
      </c>
      <c r="C737" s="12" t="str">
        <f ca="1">IFERROR(__xludf.DUMMYFUNCTION("""COMPUTED_VALUE"""),"Johanna and Henriette Kuyper")</f>
        <v>Johanna and Henriette Kuyper</v>
      </c>
      <c r="D737" s="12"/>
      <c r="E737" s="12" t="str">
        <f ca="1">IFERROR(__xludf.DUMMYFUNCTION("""COMPUTED_VALUE"""),"Book")</f>
        <v>Book</v>
      </c>
      <c r="F737" s="12" t="str">
        <f ca="1">IFERROR(__xludf.DUMMYFUNCTION("""COMPUTED_VALUE"""),"Children")</f>
        <v>Children</v>
      </c>
      <c r="G737" s="12"/>
      <c r="H737" s="12"/>
      <c r="I737" s="12"/>
      <c r="J737" s="12"/>
      <c r="K737" s="13"/>
      <c r="L737" s="12"/>
      <c r="M737" s="12"/>
      <c r="N737" s="12" t="str">
        <f ca="1">IFERROR(__xludf.DUMMYFUNCTION("""COMPUTED_VALUE"""),"Table1")</f>
        <v>Table1</v>
      </c>
    </row>
    <row r="738" spans="1:14" ht="15.75" customHeight="1" x14ac:dyDescent="0.35">
      <c r="A738" s="12" t="str">
        <f ca="1">IFERROR(__xludf.DUMMYFUNCTION("""COMPUTED_VALUE"""),"VanDoodewaard, Rebecca")</f>
        <v>VanDoodewaard, Rebecca</v>
      </c>
      <c r="B738" s="12" t="str">
        <f ca="1">IFERROR(__xludf.DUMMYFUNCTION("""COMPUTED_VALUE""")," Rebecca VanDoodewaard")</f>
        <v xml:space="preserve"> Rebecca VanDoodewaard</v>
      </c>
      <c r="C738" s="12" t="str">
        <f ca="1">IFERROR(__xludf.DUMMYFUNCTION("""COMPUTED_VALUE"""),"The Doctor Who Became a Preacher: Martyn Lloyd-Jones")</f>
        <v>The Doctor Who Became a Preacher: Martyn Lloyd-Jones</v>
      </c>
      <c r="D738" s="12" t="str">
        <f ca="1">IFERROR(__xludf.DUMMYFUNCTION("""COMPUTED_VALUE"""),"Boardbook*")</f>
        <v>Boardbook*</v>
      </c>
      <c r="E738" s="12" t="str">
        <f ca="1">IFERROR(__xludf.DUMMYFUNCTION("""COMPUTED_VALUE"""),"Book")</f>
        <v>Book</v>
      </c>
      <c r="F738" s="12" t="str">
        <f ca="1">IFERROR(__xludf.DUMMYFUNCTION("""COMPUTED_VALUE"""),"Children")</f>
        <v>Children</v>
      </c>
      <c r="G738" s="12"/>
      <c r="H738" s="12"/>
      <c r="I738" s="12"/>
      <c r="J738" s="12"/>
      <c r="K738" s="13">
        <f ca="1">IFERROR(__xludf.DUMMYFUNCTION("""COMPUTED_VALUE"""),43160)</f>
        <v>43160</v>
      </c>
      <c r="L738" s="12" t="str">
        <f ca="1">IFERROR(__xludf.DUMMYFUNCTION("""COMPUTED_VALUE"""),"Labeled for CBC Nursery--not for checkout")</f>
        <v>Labeled for CBC Nursery--not for checkout</v>
      </c>
      <c r="M738" s="12"/>
      <c r="N738" s="12" t="str">
        <f ca="1">IFERROR(__xludf.DUMMYFUNCTION("""COMPUTED_VALUE"""),"Table1")</f>
        <v>Table1</v>
      </c>
    </row>
    <row r="739" spans="1:14" ht="15.75" customHeight="1" x14ac:dyDescent="0.35">
      <c r="A739" s="12" t="str">
        <f ca="1">IFERROR(__xludf.DUMMYFUNCTION("""COMPUTED_VALUE"""),"VanDoodewaard, Rebecca")</f>
        <v>VanDoodewaard, Rebecca</v>
      </c>
      <c r="B739" s="12" t="str">
        <f ca="1">IFERROR(__xludf.DUMMYFUNCTION("""COMPUTED_VALUE""")," Rebecca VanDoodewaard")</f>
        <v xml:space="preserve"> Rebecca VanDoodewaard</v>
      </c>
      <c r="C739" s="12" t="str">
        <f ca="1">IFERROR(__xludf.DUMMYFUNCTION("""COMPUTED_VALUE"""),"The Man Who Preached Outside: George Whitefield")</f>
        <v>The Man Who Preached Outside: George Whitefield</v>
      </c>
      <c r="D739" s="12" t="str">
        <f ca="1">IFERROR(__xludf.DUMMYFUNCTION("""COMPUTED_VALUE"""),"Boardbook*")</f>
        <v>Boardbook*</v>
      </c>
      <c r="E739" s="12" t="str">
        <f ca="1">IFERROR(__xludf.DUMMYFUNCTION("""COMPUTED_VALUE"""),"Book")</f>
        <v>Book</v>
      </c>
      <c r="F739" s="12" t="str">
        <f ca="1">IFERROR(__xludf.DUMMYFUNCTION("""COMPUTED_VALUE"""),"Children")</f>
        <v>Children</v>
      </c>
      <c r="G739" s="12"/>
      <c r="H739" s="12"/>
      <c r="I739" s="12"/>
      <c r="J739" s="12"/>
      <c r="K739" s="13">
        <f ca="1">IFERROR(__xludf.DUMMYFUNCTION("""COMPUTED_VALUE"""),43160)</f>
        <v>43160</v>
      </c>
      <c r="L739" s="12"/>
      <c r="M739" s="12"/>
      <c r="N739" s="12" t="str">
        <f ca="1">IFERROR(__xludf.DUMMYFUNCTION("""COMPUTED_VALUE"""),"Table1")</f>
        <v>Table1</v>
      </c>
    </row>
    <row r="740" spans="1:14" ht="15.75" customHeight="1" x14ac:dyDescent="0.35">
      <c r="A740" s="12" t="str">
        <f ca="1">IFERROR(__xludf.DUMMYFUNCTION("""COMPUTED_VALUE"""),"VanDoodewaard, Rebecca")</f>
        <v>VanDoodewaard, Rebecca</v>
      </c>
      <c r="B740" s="12" t="str">
        <f ca="1">IFERROR(__xludf.DUMMYFUNCTION("""COMPUTED_VALUE""")," Rebecca VanDoodewaard")</f>
        <v xml:space="preserve"> Rebecca VanDoodewaard</v>
      </c>
      <c r="C740" s="12" t="str">
        <f ca="1">IFERROR(__xludf.DUMMYFUNCTION("""COMPUTED_VALUE"""),"The Woman Who Helped a Reformer: Katharina Luther")</f>
        <v>The Woman Who Helped a Reformer: Katharina Luther</v>
      </c>
      <c r="D740" s="12" t="str">
        <f ca="1">IFERROR(__xludf.DUMMYFUNCTION("""COMPUTED_VALUE"""),"Boardbook*")</f>
        <v>Boardbook*</v>
      </c>
      <c r="E740" s="12" t="str">
        <f ca="1">IFERROR(__xludf.DUMMYFUNCTION("""COMPUTED_VALUE"""),"Book")</f>
        <v>Book</v>
      </c>
      <c r="F740" s="12" t="str">
        <f ca="1">IFERROR(__xludf.DUMMYFUNCTION("""COMPUTED_VALUE"""),"Children")</f>
        <v>Children</v>
      </c>
      <c r="G740" s="12"/>
      <c r="H740" s="12"/>
      <c r="I740" s="12"/>
      <c r="J740" s="12"/>
      <c r="K740" s="13">
        <f ca="1">IFERROR(__xludf.DUMMYFUNCTION("""COMPUTED_VALUE"""),43160)</f>
        <v>43160</v>
      </c>
      <c r="L740" s="12"/>
      <c r="M740" s="12"/>
      <c r="N740" s="12" t="str">
        <f ca="1">IFERROR(__xludf.DUMMYFUNCTION("""COMPUTED_VALUE"""),"Table1")</f>
        <v>Table1</v>
      </c>
    </row>
    <row r="741" spans="1:14" ht="15.75" customHeight="1" x14ac:dyDescent="0.35">
      <c r="A741" s="12" t="str">
        <f ca="1">IFERROR(__xludf.DUMMYFUNCTION("""COMPUTED_VALUE"""),"VanDoodewaard, Rebecca")</f>
        <v>VanDoodewaard, Rebecca</v>
      </c>
      <c r="B741" s="12" t="str">
        <f ca="1">IFERROR(__xludf.DUMMYFUNCTION("""COMPUTED_VALUE""")," Rebecca VanDoodewaard")</f>
        <v xml:space="preserve"> Rebecca VanDoodewaard</v>
      </c>
      <c r="C741" s="12" t="str">
        <f ca="1">IFERROR(__xludf.DUMMYFUNCTION("""COMPUTED_VALUE"""),"The Woman Who Loved to Give Books: Susannah Spurgeon")</f>
        <v>The Woman Who Loved to Give Books: Susannah Spurgeon</v>
      </c>
      <c r="D741" s="12" t="str">
        <f ca="1">IFERROR(__xludf.DUMMYFUNCTION("""COMPUTED_VALUE"""),"Boardbook*")</f>
        <v>Boardbook*</v>
      </c>
      <c r="E741" s="12" t="str">
        <f ca="1">IFERROR(__xludf.DUMMYFUNCTION("""COMPUTED_VALUE"""),"Book")</f>
        <v>Book</v>
      </c>
      <c r="F741" s="12" t="str">
        <f ca="1">IFERROR(__xludf.DUMMYFUNCTION("""COMPUTED_VALUE"""),"Children")</f>
        <v>Children</v>
      </c>
      <c r="G741" s="12"/>
      <c r="H741" s="12"/>
      <c r="I741" s="12"/>
      <c r="J741" s="12"/>
      <c r="K741" s="13">
        <f ca="1">IFERROR(__xludf.DUMMYFUNCTION("""COMPUTED_VALUE"""),43160)</f>
        <v>43160</v>
      </c>
      <c r="L741" s="12"/>
      <c r="M741" s="12"/>
      <c r="N741" s="12" t="str">
        <f ca="1">IFERROR(__xludf.DUMMYFUNCTION("""COMPUTED_VALUE"""),"Table1")</f>
        <v>Table1</v>
      </c>
    </row>
    <row r="742" spans="1:14" ht="15.75" customHeight="1" x14ac:dyDescent="0.35">
      <c r="A742" s="12" t="str">
        <f ca="1">IFERROR(__xludf.DUMMYFUNCTION("""COMPUTED_VALUE"""),"Vandrunen, David")</f>
        <v>Vandrunen, David</v>
      </c>
      <c r="B742" s="12" t="str">
        <f ca="1">IFERROR(__xludf.DUMMYFUNCTION("""COMPUTED_VALUE""")," David Vandrunen")</f>
        <v xml:space="preserve"> David Vandrunen</v>
      </c>
      <c r="C742" s="12" t="str">
        <f ca="1">IFERROR(__xludf.DUMMYFUNCTION("""COMPUTED_VALUE"""),"God's Glory Alone")</f>
        <v>God's Glory Alone</v>
      </c>
      <c r="D742" s="12" t="str">
        <f ca="1">IFERROR(__xludf.DUMMYFUNCTION("""COMPUTED_VALUE"""),"5 Solas")</f>
        <v>5 Solas</v>
      </c>
      <c r="E742" s="12" t="str">
        <f ca="1">IFERROR(__xludf.DUMMYFUNCTION("""COMPUTED_VALUE"""),"Book")</f>
        <v>Book</v>
      </c>
      <c r="F742" s="12" t="str">
        <f ca="1">IFERROR(__xludf.DUMMYFUNCTION("""COMPUTED_VALUE"""),"Theology")</f>
        <v>Theology</v>
      </c>
      <c r="G742" s="12"/>
      <c r="H742" s="12"/>
      <c r="I742" s="12"/>
      <c r="J742" s="12"/>
      <c r="K742" s="13">
        <f ca="1">IFERROR(__xludf.DUMMYFUNCTION("""COMPUTED_VALUE"""),43211)</f>
        <v>43211</v>
      </c>
      <c r="L742" s="12"/>
      <c r="M742" s="12"/>
      <c r="N742" s="12" t="str">
        <f ca="1">IFERROR(__xludf.DUMMYFUNCTION("""COMPUTED_VALUE"""),"Table1")</f>
        <v>Table1</v>
      </c>
    </row>
    <row r="743" spans="1:14" ht="15.75" customHeight="1" x14ac:dyDescent="0.35">
      <c r="A743" s="12" t="str">
        <f ca="1">IFERROR(__xludf.DUMMYFUNCTION("""COMPUTED_VALUE"""),"Vaughn, Ellen")</f>
        <v>Vaughn, Ellen</v>
      </c>
      <c r="B743" s="12" t="str">
        <f ca="1">IFERROR(__xludf.DUMMYFUNCTION("""COMPUTED_VALUE""")," Ellen Vaughn")</f>
        <v xml:space="preserve"> Ellen Vaughn</v>
      </c>
      <c r="C743" s="12" t="str">
        <f ca="1">IFERROR(__xludf.DUMMYFUNCTION("""COMPUTED_VALUE"""),"Becoming Elisabeth Elliot")</f>
        <v>Becoming Elisabeth Elliot</v>
      </c>
      <c r="D743" s="12"/>
      <c r="E743" s="12" t="str">
        <f ca="1">IFERROR(__xludf.DUMMYFUNCTION("""COMPUTED_VALUE"""),"Book")</f>
        <v>Book</v>
      </c>
      <c r="F743" s="12" t="str">
        <f ca="1">IFERROR(__xludf.DUMMYFUNCTION("""COMPUTED_VALUE"""),"Biography")</f>
        <v>Biography</v>
      </c>
      <c r="G743" s="12"/>
      <c r="H743" s="12"/>
      <c r="I743" s="12"/>
      <c r="J743" s="12" t="str">
        <f ca="1">IFERROR(__xludf.DUMMYFUNCTION("""COMPUTED_VALUE"""),"Missions")</f>
        <v>Missions</v>
      </c>
      <c r="K743" s="13">
        <f ca="1">IFERROR(__xludf.DUMMYFUNCTION("""COMPUTED_VALUE"""),44688)</f>
        <v>44688</v>
      </c>
      <c r="L743" s="12"/>
      <c r="M743" s="12"/>
      <c r="N743" s="12" t="str">
        <f ca="1">IFERROR(__xludf.DUMMYFUNCTION("""COMPUTED_VALUE"""),"Table1")</f>
        <v>Table1</v>
      </c>
    </row>
    <row r="744" spans="1:14" ht="15.75" customHeight="1" x14ac:dyDescent="0.35">
      <c r="A744" s="12" t="str">
        <f ca="1">IFERROR(__xludf.DUMMYFUNCTION("""COMPUTED_VALUE"""),"Venema, Cornelis P.")</f>
        <v>Venema, Cornelis P.</v>
      </c>
      <c r="B744" s="12" t="str">
        <f ca="1">IFERROR(__xludf.DUMMYFUNCTION("""COMPUTED_VALUE""")," Cornelis P. Venema")</f>
        <v xml:space="preserve"> Cornelis P. Venema</v>
      </c>
      <c r="C744" s="12" t="str">
        <f ca="1">IFERROR(__xludf.DUMMYFUNCTION("""COMPUTED_VALUE"""),"Getting the Gospel Right")</f>
        <v>Getting the Gospel Right</v>
      </c>
      <c r="D744" s="12"/>
      <c r="E744" s="12" t="str">
        <f ca="1">IFERROR(__xludf.DUMMYFUNCTION("""COMPUTED_VALUE"""),"Book")</f>
        <v>Book</v>
      </c>
      <c r="F744" s="12" t="str">
        <f ca="1">IFERROR(__xludf.DUMMYFUNCTION("""COMPUTED_VALUE"""),"Salvation")</f>
        <v>Salvation</v>
      </c>
      <c r="G744" s="12"/>
      <c r="H744" s="12"/>
      <c r="I744" s="12"/>
      <c r="J744" s="12" t="str">
        <f ca="1">IFERROR(__xludf.DUMMYFUNCTION("""COMPUTED_VALUE"""),"Gospel")</f>
        <v>Gospel</v>
      </c>
      <c r="K744" s="13">
        <f ca="1">IFERROR(__xludf.DUMMYFUNCTION("""COMPUTED_VALUE"""),40038)</f>
        <v>40038</v>
      </c>
      <c r="L744" s="12"/>
      <c r="M744" s="12"/>
      <c r="N744" s="12" t="str">
        <f ca="1">IFERROR(__xludf.DUMMYFUNCTION("""COMPUTED_VALUE"""),"Table1")</f>
        <v>Table1</v>
      </c>
    </row>
    <row r="745" spans="1:14" ht="15.75" customHeight="1" x14ac:dyDescent="0.35">
      <c r="A745" s="12" t="str">
        <f ca="1">IFERROR(__xludf.DUMMYFUNCTION("""COMPUTED_VALUE"""),"Vickers, Brian")</f>
        <v>Vickers, Brian</v>
      </c>
      <c r="B745" s="12" t="str">
        <f ca="1">IFERROR(__xludf.DUMMYFUNCTION("""COMPUTED_VALUE""")," Brian Vickers")</f>
        <v xml:space="preserve"> Brian Vickers</v>
      </c>
      <c r="C745" s="12" t="str">
        <f ca="1">IFERROR(__xludf.DUMMYFUNCTION("""COMPUTED_VALUE"""),"Justification by Grace through Faith: Finding Freedom from Legalism, Lawlessness, Pride, and Despair")</f>
        <v>Justification by Grace through Faith: Finding Freedom from Legalism, Lawlessness, Pride, and Despair</v>
      </c>
      <c r="D745" s="12" t="str">
        <f ca="1">IFERROR(__xludf.DUMMYFUNCTION("""COMPUTED_VALUE"""),"Explorations in Biblical Theology")</f>
        <v>Explorations in Biblical Theology</v>
      </c>
      <c r="E745" s="12" t="str">
        <f ca="1">IFERROR(__xludf.DUMMYFUNCTION("""COMPUTED_VALUE"""),"Book")</f>
        <v>Book</v>
      </c>
      <c r="F745" s="12" t="str">
        <f ca="1">IFERROR(__xludf.DUMMYFUNCTION("""COMPUTED_VALUE"""),"Salvation")</f>
        <v>Salvation</v>
      </c>
      <c r="G745" s="12"/>
      <c r="H745" s="12"/>
      <c r="I745" s="12"/>
      <c r="J745" s="12"/>
      <c r="K745" s="13">
        <f ca="1">IFERROR(__xludf.DUMMYFUNCTION("""COMPUTED_VALUE"""),43815)</f>
        <v>43815</v>
      </c>
      <c r="L745" s="12"/>
      <c r="M745" s="12"/>
      <c r="N745" s="12" t="str">
        <f ca="1">IFERROR(__xludf.DUMMYFUNCTION("""COMPUTED_VALUE"""),"Table1")</f>
        <v>Table1</v>
      </c>
    </row>
    <row r="746" spans="1:14" ht="15.75" customHeight="1" x14ac:dyDescent="0.35">
      <c r="A746" s="12" t="str">
        <f ca="1">IFERROR(__xludf.DUMMYFUNCTION("""COMPUTED_VALUE"""),"Von Schmid, Christopher")</f>
        <v>Von Schmid, Christopher</v>
      </c>
      <c r="B746" s="12" t="str">
        <f ca="1">IFERROR(__xludf.DUMMYFUNCTION("""COMPUTED_VALUE""")," Christopher Von Schmid")</f>
        <v xml:space="preserve"> Christopher Von Schmid</v>
      </c>
      <c r="C746" s="12" t="str">
        <f ca="1">IFERROR(__xludf.DUMMYFUNCTION("""COMPUTED_VALUE"""),"A Basket of Flowers")</f>
        <v>A Basket of Flowers</v>
      </c>
      <c r="D746" s="12" t="str">
        <f ca="1">IFERROR(__xludf.DUMMYFUNCTION("""COMPUTED_VALUE"""),"Classic Stories")</f>
        <v>Classic Stories</v>
      </c>
      <c r="E746" s="12" t="str">
        <f ca="1">IFERROR(__xludf.DUMMYFUNCTION("""COMPUTED_VALUE"""),"Book")</f>
        <v>Book</v>
      </c>
      <c r="F746" s="12" t="str">
        <f ca="1">IFERROR(__xludf.DUMMYFUNCTION("""COMPUTED_VALUE"""),"Children")</f>
        <v>Children</v>
      </c>
      <c r="G746" s="12"/>
      <c r="H746" s="12"/>
      <c r="I746" s="12"/>
      <c r="J746" s="12"/>
      <c r="K746" s="13">
        <f ca="1">IFERROR(__xludf.DUMMYFUNCTION("""COMPUTED_VALUE"""),41804)</f>
        <v>41804</v>
      </c>
      <c r="L746" s="12"/>
      <c r="M746" s="12"/>
      <c r="N746" s="12" t="str">
        <f ca="1">IFERROR(__xludf.DUMMYFUNCTION("""COMPUTED_VALUE"""),"Table1")</f>
        <v>Table1</v>
      </c>
    </row>
    <row r="747" spans="1:14" ht="15.75" customHeight="1" x14ac:dyDescent="0.35">
      <c r="A747" s="12" t="str">
        <f ca="1">IFERROR(__xludf.DUMMYFUNCTION("""COMPUTED_VALUE"""),"Vroegop, Mark")</f>
        <v>Vroegop, Mark</v>
      </c>
      <c r="B747" s="12" t="str">
        <f ca="1">IFERROR(__xludf.DUMMYFUNCTION("""COMPUTED_VALUE""")," Mark Vroegop")</f>
        <v xml:space="preserve"> Mark Vroegop</v>
      </c>
      <c r="C747" s="12" t="str">
        <f ca="1">IFERROR(__xludf.DUMMYFUNCTION("""COMPUTED_VALUE"""),"Dark Clouds, Deep Mercy: Discovering the Grace of Lament")</f>
        <v>Dark Clouds, Deep Mercy: Discovering the Grace of Lament</v>
      </c>
      <c r="D747" s="12"/>
      <c r="E747" s="12" t="str">
        <f ca="1">IFERROR(__xludf.DUMMYFUNCTION("""COMPUTED_VALUE"""),"Book")</f>
        <v>Book</v>
      </c>
      <c r="F747" s="12" t="str">
        <f ca="1">IFERROR(__xludf.DUMMYFUNCTION("""COMPUTED_VALUE"""),"Discipleship")</f>
        <v>Discipleship</v>
      </c>
      <c r="G747" s="12"/>
      <c r="H747" s="12"/>
      <c r="I747" s="12"/>
      <c r="J747" s="12"/>
      <c r="K747" s="13">
        <f ca="1">IFERROR(__xludf.DUMMYFUNCTION("""COMPUTED_VALUE"""),43704)</f>
        <v>43704</v>
      </c>
      <c r="L747" s="12"/>
      <c r="M747" s="12"/>
      <c r="N747" s="12" t="str">
        <f ca="1">IFERROR(__xludf.DUMMYFUNCTION("""COMPUTED_VALUE"""),"Table1")</f>
        <v>Table1</v>
      </c>
    </row>
    <row r="748" spans="1:14" ht="15.75" customHeight="1" x14ac:dyDescent="0.35">
      <c r="A748" s="12" t="str">
        <f ca="1">IFERROR(__xludf.DUMMYFUNCTION("""COMPUTED_VALUE"""),"Walgemuth, Nancy DeMoss")</f>
        <v>Walgemuth, Nancy DeMoss</v>
      </c>
      <c r="B748" s="12" t="str">
        <f ca="1">IFERROR(__xludf.DUMMYFUNCTION("""COMPUTED_VALUE""")," Nancy DeMoss Walgemuth")</f>
        <v xml:space="preserve"> Nancy DeMoss Walgemuth</v>
      </c>
      <c r="C748" s="12" t="str">
        <f ca="1">IFERROR(__xludf.DUMMYFUNCTION("""COMPUTED_VALUE"""),"Lies Women Believe and the Truth That Sets Them Free")</f>
        <v>Lies Women Believe and the Truth That Sets Them Free</v>
      </c>
      <c r="D748" s="12"/>
      <c r="E748" s="12" t="str">
        <f ca="1">IFERROR(__xludf.DUMMYFUNCTION("""COMPUTED_VALUE"""),"Book")</f>
        <v>Book</v>
      </c>
      <c r="F748" s="12" t="str">
        <f ca="1">IFERROR(__xludf.DUMMYFUNCTION("""COMPUTED_VALUE"""),"Discipleship")</f>
        <v>Discipleship</v>
      </c>
      <c r="G748" s="12"/>
      <c r="H748" s="12"/>
      <c r="I748" s="12"/>
      <c r="J748" s="12" t="str">
        <f ca="1">IFERROR(__xludf.DUMMYFUNCTION("""COMPUTED_VALUE"""),"Christian Women")</f>
        <v>Christian Women</v>
      </c>
      <c r="K748" s="13">
        <f ca="1">IFERROR(__xludf.DUMMYFUNCTION("""COMPUTED_VALUE"""),43912)</f>
        <v>43912</v>
      </c>
      <c r="L748" s="12"/>
      <c r="M748" s="12"/>
      <c r="N748" s="12" t="str">
        <f ca="1">IFERROR(__xludf.DUMMYFUNCTION("""COMPUTED_VALUE"""),"Table1")</f>
        <v>Table1</v>
      </c>
    </row>
    <row r="749" spans="1:14" ht="15.75" customHeight="1" x14ac:dyDescent="0.35">
      <c r="A749" s="12" t="str">
        <f ca="1">IFERROR(__xludf.DUMMYFUNCTION("""COMPUTED_VALUE"""),"Walker, Andrew T.")</f>
        <v>Walker, Andrew T.</v>
      </c>
      <c r="B749" s="12" t="str">
        <f ca="1">IFERROR(__xludf.DUMMYFUNCTION("""COMPUTED_VALUE""")," Andrew T. Walker")</f>
        <v xml:space="preserve"> Andrew T. Walker</v>
      </c>
      <c r="C749" s="12" t="str">
        <f ca="1">IFERROR(__xludf.DUMMYFUNCTION("""COMPUTED_VALUE"""),"God and the Transgender Debate")</f>
        <v>God and the Transgender Debate</v>
      </c>
      <c r="D749" s="12"/>
      <c r="E749" s="12" t="str">
        <f ca="1">IFERROR(__xludf.DUMMYFUNCTION("""COMPUTED_VALUE"""),"Book")</f>
        <v>Book</v>
      </c>
      <c r="F749" s="12" t="str">
        <f ca="1">IFERROR(__xludf.DUMMYFUNCTION("""COMPUTED_VALUE"""),"Understanding Mankind")</f>
        <v>Understanding Mankind</v>
      </c>
      <c r="G749" s="12"/>
      <c r="H749" s="12"/>
      <c r="I749" s="12"/>
      <c r="J749" s="12" t="str">
        <f ca="1">IFERROR(__xludf.DUMMYFUNCTION("""COMPUTED_VALUE"""),"Homosexuality, Gender Identity")</f>
        <v>Homosexuality, Gender Identity</v>
      </c>
      <c r="K749" s="13">
        <f ca="1">IFERROR(__xludf.DUMMYFUNCTION("""COMPUTED_VALUE"""),43160)</f>
        <v>43160</v>
      </c>
      <c r="L749" s="12"/>
      <c r="M749" s="12"/>
      <c r="N749" s="12" t="str">
        <f ca="1">IFERROR(__xludf.DUMMYFUNCTION("""COMPUTED_VALUE"""),"Table1")</f>
        <v>Table1</v>
      </c>
    </row>
    <row r="750" spans="1:14" ht="15.75" customHeight="1" x14ac:dyDescent="0.35">
      <c r="A750" s="12" t="str">
        <f ca="1">IFERROR(__xludf.DUMMYFUNCTION("""COMPUTED_VALUE"""),"Walker, Constance K.")</f>
        <v>Walker, Constance K.</v>
      </c>
      <c r="B750" s="12" t="str">
        <f ca="1">IFERROR(__xludf.DUMMYFUNCTION("""COMPUTED_VALUE""")," Constance K. Walker")</f>
        <v xml:space="preserve"> Constance K. Walker</v>
      </c>
      <c r="C750" s="12" t="str">
        <f ca="1">IFERROR(__xludf.DUMMYFUNCTION("""COMPUTED_VALUE"""),"Adolphe Monod")</f>
        <v>Adolphe Monod</v>
      </c>
      <c r="D750" s="12" t="str">
        <f ca="1">IFERROR(__xludf.DUMMYFUNCTION("""COMPUTED_VALUE"""),"Bitesize Biographies")</f>
        <v>Bitesize Biographies</v>
      </c>
      <c r="E750" s="12" t="str">
        <f ca="1">IFERROR(__xludf.DUMMYFUNCTION("""COMPUTED_VALUE"""),"Book")</f>
        <v>Book</v>
      </c>
      <c r="F750" s="12" t="str">
        <f ca="1">IFERROR(__xludf.DUMMYFUNCTION("""COMPUTED_VALUE"""),"Biography")</f>
        <v>Biography</v>
      </c>
      <c r="G750" s="12"/>
      <c r="H750" s="12"/>
      <c r="I750" s="12"/>
      <c r="J750" s="12"/>
      <c r="K750" s="13">
        <f ca="1">IFERROR(__xludf.DUMMYFUNCTION("""COMPUTED_VALUE"""),43704)</f>
        <v>43704</v>
      </c>
      <c r="L750" s="12"/>
      <c r="M750" s="12"/>
      <c r="N750" s="12" t="str">
        <f ca="1">IFERROR(__xludf.DUMMYFUNCTION("""COMPUTED_VALUE"""),"Table1")</f>
        <v>Table1</v>
      </c>
    </row>
    <row r="751" spans="1:14" ht="15.75" customHeight="1" x14ac:dyDescent="0.35">
      <c r="A751" s="12" t="str">
        <f ca="1">IFERROR(__xludf.DUMMYFUNCTION("""COMPUTED_VALUE"""),"Wallace, Sara")</f>
        <v>Wallace, Sara</v>
      </c>
      <c r="B751" s="12" t="str">
        <f ca="1">IFERROR(__xludf.DUMMYFUNCTION("""COMPUTED_VALUE""")," Sara Wallace")</f>
        <v xml:space="preserve"> Sara Wallace</v>
      </c>
      <c r="C751" s="12" t="str">
        <f ca="1">IFERROR(__xludf.DUMMYFUNCTION("""COMPUTED_VALUE"""),"For the Love of Discipline: When the Gospel Meets Tantrums and Time-Outs")</f>
        <v>For the Love of Discipline: When the Gospel Meets Tantrums and Time-Outs</v>
      </c>
      <c r="D751" s="12"/>
      <c r="E751" s="12" t="str">
        <f ca="1">IFERROR(__xludf.DUMMYFUNCTION("""COMPUTED_VALUE"""),"Book")</f>
        <v>Book</v>
      </c>
      <c r="F751" s="12" t="str">
        <f ca="1">IFERROR(__xludf.DUMMYFUNCTION("""COMPUTED_VALUE"""),"Understanding Mankind")</f>
        <v>Understanding Mankind</v>
      </c>
      <c r="G751" s="12"/>
      <c r="H751" s="12"/>
      <c r="I751" s="12" t="str">
        <f ca="1">IFERROR(__xludf.DUMMYFUNCTION("""COMPUTED_VALUE"""),"Parenting")</f>
        <v>Parenting</v>
      </c>
      <c r="J751" s="12" t="str">
        <f ca="1">IFERROR(__xludf.DUMMYFUNCTION("""COMPUTED_VALUE"""),"Discipline")</f>
        <v>Discipline</v>
      </c>
      <c r="K751" s="13">
        <f ca="1">IFERROR(__xludf.DUMMYFUNCTION("""COMPUTED_VALUE"""),43832)</f>
        <v>43832</v>
      </c>
      <c r="L751" s="12"/>
      <c r="M751" s="12"/>
      <c r="N751" s="12" t="str">
        <f ca="1">IFERROR(__xludf.DUMMYFUNCTION("""COMPUTED_VALUE"""),"Table1")</f>
        <v>Table1</v>
      </c>
    </row>
    <row r="752" spans="1:14" ht="15.75" customHeight="1" x14ac:dyDescent="0.35">
      <c r="A752" s="12" t="str">
        <f ca="1">IFERROR(__xludf.DUMMYFUNCTION("""COMPUTED_VALUE"""),"Walton, O.F.")</f>
        <v>Walton, O.F.</v>
      </c>
      <c r="B752" s="12" t="str">
        <f ca="1">IFERROR(__xludf.DUMMYFUNCTION("""COMPUTED_VALUE""")," O.F. Walton")</f>
        <v xml:space="preserve"> O.F. Walton</v>
      </c>
      <c r="C752" s="12" t="str">
        <f ca="1">IFERROR(__xludf.DUMMYFUNCTION("""COMPUTED_VALUE"""),"Christie the King's Servant")</f>
        <v>Christie the King's Servant</v>
      </c>
      <c r="D752" s="12" t="str">
        <f ca="1">IFERROR(__xludf.DUMMYFUNCTION("""COMPUTED_VALUE"""),"Lamplighter")</f>
        <v>Lamplighter</v>
      </c>
      <c r="E752" s="12" t="str">
        <f ca="1">IFERROR(__xludf.DUMMYFUNCTION("""COMPUTED_VALUE"""),"Book")</f>
        <v>Book</v>
      </c>
      <c r="F752" s="12" t="str">
        <f ca="1">IFERROR(__xludf.DUMMYFUNCTION("""COMPUTED_VALUE"""),"Fiction")</f>
        <v>Fiction</v>
      </c>
      <c r="G752" s="12"/>
      <c r="H752" s="12"/>
      <c r="I752" s="12"/>
      <c r="J752" s="12" t="str">
        <f ca="1">IFERROR(__xludf.DUMMYFUNCTION("""COMPUTED_VALUE"""),"Youth")</f>
        <v>Youth</v>
      </c>
      <c r="K752" s="13">
        <f ca="1">IFERROR(__xludf.DUMMYFUNCTION("""COMPUTED_VALUE"""),41712)</f>
        <v>41712</v>
      </c>
      <c r="L752" s="12"/>
      <c r="M752" s="12"/>
      <c r="N752" s="12" t="str">
        <f ca="1">IFERROR(__xludf.DUMMYFUNCTION("""COMPUTED_VALUE"""),"Table1")</f>
        <v>Table1</v>
      </c>
    </row>
    <row r="753" spans="1:14" ht="15.75" customHeight="1" x14ac:dyDescent="0.35">
      <c r="A753" s="12" t="str">
        <f ca="1">IFERROR(__xludf.DUMMYFUNCTION("""COMPUTED_VALUE"""),"Walton, O.F.")</f>
        <v>Walton, O.F.</v>
      </c>
      <c r="B753" s="12" t="str">
        <f ca="1">IFERROR(__xludf.DUMMYFUNCTION("""COMPUTED_VALUE""")," O.F. Walton")</f>
        <v xml:space="preserve"> O.F. Walton</v>
      </c>
      <c r="C753" s="12" t="str">
        <f ca="1">IFERROR(__xludf.DUMMYFUNCTION("""COMPUTED_VALUE"""),"Christie's Old Organ")</f>
        <v>Christie's Old Organ</v>
      </c>
      <c r="D753" s="12" t="str">
        <f ca="1">IFERROR(__xludf.DUMMYFUNCTION("""COMPUTED_VALUE"""),"Lamplighter")</f>
        <v>Lamplighter</v>
      </c>
      <c r="E753" s="12" t="str">
        <f ca="1">IFERROR(__xludf.DUMMYFUNCTION("""COMPUTED_VALUE"""),"Book")</f>
        <v>Book</v>
      </c>
      <c r="F753" s="12" t="str">
        <f ca="1">IFERROR(__xludf.DUMMYFUNCTION("""COMPUTED_VALUE"""),"Fiction")</f>
        <v>Fiction</v>
      </c>
      <c r="G753" s="12"/>
      <c r="H753" s="12"/>
      <c r="I753" s="12"/>
      <c r="J753" s="12" t="str">
        <f ca="1">IFERROR(__xludf.DUMMYFUNCTION("""COMPUTED_VALUE"""),"Youth")</f>
        <v>Youth</v>
      </c>
      <c r="K753" s="13">
        <f ca="1">IFERROR(__xludf.DUMMYFUNCTION("""COMPUTED_VALUE"""),41712)</f>
        <v>41712</v>
      </c>
      <c r="L753" s="12"/>
      <c r="M753" s="12"/>
      <c r="N753" s="12" t="str">
        <f ca="1">IFERROR(__xludf.DUMMYFUNCTION("""COMPUTED_VALUE"""),"Table1")</f>
        <v>Table1</v>
      </c>
    </row>
    <row r="754" spans="1:14" ht="15.75" customHeight="1" x14ac:dyDescent="0.35">
      <c r="A754" s="12" t="str">
        <f ca="1">IFERROR(__xludf.DUMMYFUNCTION("""COMPUTED_VALUE"""),"Waters, Guy Prentiss")</f>
        <v>Waters, Guy Prentiss</v>
      </c>
      <c r="B754" s="12" t="str">
        <f ca="1">IFERROR(__xludf.DUMMYFUNCTION("""COMPUTED_VALUE""")," Guy Prentiss Waters")</f>
        <v xml:space="preserve"> Guy Prentiss Waters</v>
      </c>
      <c r="C754" s="12" t="str">
        <f ca="1">IFERROR(__xludf.DUMMYFUNCTION("""COMPUTED_VALUE"""),"The Lord's Supper as the Sign and Meal of the New Covenant")</f>
        <v>The Lord's Supper as the Sign and Meal of the New Covenant</v>
      </c>
      <c r="D754" s="12"/>
      <c r="E754" s="12" t="str">
        <f ca="1">IFERROR(__xludf.DUMMYFUNCTION("""COMPUTED_VALUE"""),"Book")</f>
        <v>Book</v>
      </c>
      <c r="F754" s="12" t="str">
        <f ca="1">IFERROR(__xludf.DUMMYFUNCTION("""COMPUTED_VALUE"""),"Theology")</f>
        <v>Theology</v>
      </c>
      <c r="G754" s="12"/>
      <c r="H754" s="12"/>
      <c r="I754" s="12"/>
      <c r="J754" s="12" t="str">
        <f ca="1">IFERROR(__xludf.DUMMYFUNCTION("""COMPUTED_VALUE"""),"Communion")</f>
        <v>Communion</v>
      </c>
      <c r="K754" s="13"/>
      <c r="L754" s="12"/>
      <c r="M754" s="12"/>
      <c r="N754" s="12" t="str">
        <f ca="1">IFERROR(__xludf.DUMMYFUNCTION("""COMPUTED_VALUE"""),"Table1")</f>
        <v>Table1</v>
      </c>
    </row>
    <row r="755" spans="1:14" ht="15.75" customHeight="1" x14ac:dyDescent="0.35">
      <c r="A755" s="12" t="str">
        <f ca="1">IFERROR(__xludf.DUMMYFUNCTION("""COMPUTED_VALUE"""),"Watkins, Dawn L")</f>
        <v>Watkins, Dawn L</v>
      </c>
      <c r="B755" s="12" t="str">
        <f ca="1">IFERROR(__xludf.DUMMYFUNCTION("""COMPUTED_VALUE""")," Dawn L Watkins")</f>
        <v xml:space="preserve"> Dawn L Watkins</v>
      </c>
      <c r="C755" s="12" t="str">
        <f ca="1">IFERROR(__xludf.DUMMYFUNCTION("""COMPUTED_VALUE"""),"Zoli's Legacy")</f>
        <v>Zoli's Legacy</v>
      </c>
      <c r="D755" s="12"/>
      <c r="E755" s="12" t="str">
        <f ca="1">IFERROR(__xludf.DUMMYFUNCTION("""COMPUTED_VALUE"""),"Book")</f>
        <v>Book</v>
      </c>
      <c r="F755" s="12" t="str">
        <f ca="1">IFERROR(__xludf.DUMMYFUNCTION("""COMPUTED_VALUE"""),"Children")</f>
        <v>Children</v>
      </c>
      <c r="G755" s="12"/>
      <c r="H755" s="12"/>
      <c r="I755" s="12"/>
      <c r="J755" s="12"/>
      <c r="K755" s="13">
        <f ca="1">IFERROR(__xludf.DUMMYFUNCTION("""COMPUTED_VALUE"""),41011)</f>
        <v>41011</v>
      </c>
      <c r="L755" s="12"/>
      <c r="M755" s="12"/>
      <c r="N755" s="12" t="str">
        <f ca="1">IFERROR(__xludf.DUMMYFUNCTION("""COMPUTED_VALUE"""),"Table1")</f>
        <v>Table1</v>
      </c>
    </row>
    <row r="756" spans="1:14" ht="15.75" customHeight="1" x14ac:dyDescent="0.35">
      <c r="A756" s="12" t="str">
        <f ca="1">IFERROR(__xludf.DUMMYFUNCTION("""COMPUTED_VALUE"""),"Watson, Thomas")</f>
        <v>Watson, Thomas</v>
      </c>
      <c r="B756" s="12" t="str">
        <f ca="1">IFERROR(__xludf.DUMMYFUNCTION("""COMPUTED_VALUE""")," Thomas Watson")</f>
        <v xml:space="preserve"> Thomas Watson</v>
      </c>
      <c r="C756" s="12" t="str">
        <f ca="1">IFERROR(__xludf.DUMMYFUNCTION("""COMPUTED_VALUE"""),"The Doctrine of Repentance")</f>
        <v>The Doctrine of Repentance</v>
      </c>
      <c r="D756" s="12"/>
      <c r="E756" s="12" t="str">
        <f ca="1">IFERROR(__xludf.DUMMYFUNCTION("""COMPUTED_VALUE"""),"Book")</f>
        <v>Book</v>
      </c>
      <c r="F756" s="12" t="str">
        <f ca="1">IFERROR(__xludf.DUMMYFUNCTION("""COMPUTED_VALUE"""),"Theology")</f>
        <v>Theology</v>
      </c>
      <c r="G756" s="12"/>
      <c r="H756" s="12" t="str">
        <f ca="1">IFERROR(__xludf.DUMMYFUNCTION("""COMPUTED_VALUE"""),"Puritans")</f>
        <v>Puritans</v>
      </c>
      <c r="I756" s="12"/>
      <c r="J756" s="12"/>
      <c r="K756" s="13"/>
      <c r="L756" s="12"/>
      <c r="M756" s="12"/>
      <c r="N756" s="12" t="str">
        <f ca="1">IFERROR(__xludf.DUMMYFUNCTION("""COMPUTED_VALUE"""),"Table1")</f>
        <v>Table1</v>
      </c>
    </row>
    <row r="757" spans="1:14" ht="15.75" customHeight="1" x14ac:dyDescent="0.35">
      <c r="A757" s="12" t="str">
        <f ca="1">IFERROR(__xludf.DUMMYFUNCTION("""COMPUTED_VALUE"""),"Watson, Thomas")</f>
        <v>Watson, Thomas</v>
      </c>
      <c r="B757" s="12" t="str">
        <f ca="1">IFERROR(__xludf.DUMMYFUNCTION("""COMPUTED_VALUE""")," Thomas Watson")</f>
        <v xml:space="preserve"> Thomas Watson</v>
      </c>
      <c r="C757" s="12" t="str">
        <f ca="1">IFERROR(__xludf.DUMMYFUNCTION("""COMPUTED_VALUE"""),"The Godly Man's Picture")</f>
        <v>The Godly Man's Picture</v>
      </c>
      <c r="D757" s="12" t="str">
        <f ca="1">IFERROR(__xludf.DUMMYFUNCTION("""COMPUTED_VALUE"""),"Puritan Papers")</f>
        <v>Puritan Papers</v>
      </c>
      <c r="E757" s="12" t="str">
        <f ca="1">IFERROR(__xludf.DUMMYFUNCTION("""COMPUTED_VALUE"""),"Book")</f>
        <v>Book</v>
      </c>
      <c r="F757" s="12" t="str">
        <f ca="1">IFERROR(__xludf.DUMMYFUNCTION("""COMPUTED_VALUE"""),"Discipleship")</f>
        <v>Discipleship</v>
      </c>
      <c r="G757" s="12"/>
      <c r="H757" s="12" t="str">
        <f ca="1">IFERROR(__xludf.DUMMYFUNCTION("""COMPUTED_VALUE"""),"Puritans")</f>
        <v>Puritans</v>
      </c>
      <c r="I757" s="12"/>
      <c r="J757" s="12"/>
      <c r="K757" s="13">
        <f ca="1">IFERROR(__xludf.DUMMYFUNCTION("""COMPUTED_VALUE"""),43872)</f>
        <v>43872</v>
      </c>
      <c r="L757" s="12"/>
      <c r="M757" s="12"/>
      <c r="N757" s="12" t="str">
        <f ca="1">IFERROR(__xludf.DUMMYFUNCTION("""COMPUTED_VALUE"""),"Table1")</f>
        <v>Table1</v>
      </c>
    </row>
    <row r="758" spans="1:14" ht="15.75" customHeight="1" x14ac:dyDescent="0.35">
      <c r="A758" s="12" t="str">
        <f ca="1">IFERROR(__xludf.DUMMYFUNCTION("""COMPUTED_VALUE"""),"Wehman, et al.")</f>
        <v>Wehman, et al.</v>
      </c>
      <c r="B758" s="12" t="str">
        <f ca="1">IFERROR(__xludf.DUMMYFUNCTION("""COMPUTED_VALUE""")," et al. Wehman")</f>
        <v xml:space="preserve"> et al. Wehman</v>
      </c>
      <c r="C758" s="12" t="str">
        <f ca="1">IFERROR(__xludf.DUMMYFUNCTION("""COMPUTED_VALUE"""),"New Bible Commentary")</f>
        <v>New Bible Commentary</v>
      </c>
      <c r="D758" s="12"/>
      <c r="E758" s="12" t="str">
        <f ca="1">IFERROR(__xludf.DUMMYFUNCTION("""COMPUTED_VALUE"""),"Book")</f>
        <v>Book</v>
      </c>
      <c r="F758" s="12" t="str">
        <f ca="1">IFERROR(__xludf.DUMMYFUNCTION("""COMPUTED_VALUE"""),"Reference")</f>
        <v>Reference</v>
      </c>
      <c r="G758" s="12"/>
      <c r="H758" s="12"/>
      <c r="I758" s="12"/>
      <c r="J758" s="12"/>
      <c r="K758" s="13">
        <f ca="1">IFERROR(__xludf.DUMMYFUNCTION("""COMPUTED_VALUE"""),40039)</f>
        <v>40039</v>
      </c>
      <c r="L758" s="12"/>
      <c r="M758" s="12"/>
      <c r="N758" s="12" t="str">
        <f ca="1">IFERROR(__xludf.DUMMYFUNCTION("""COMPUTED_VALUE"""),"Table1")</f>
        <v>Table1</v>
      </c>
    </row>
    <row r="759" spans="1:14" ht="15.75" customHeight="1" x14ac:dyDescent="0.35">
      <c r="A759" s="12" t="str">
        <f ca="1">IFERROR(__xludf.DUMMYFUNCTION("""COMPUTED_VALUE"""),"Welch, Edward T")</f>
        <v>Welch, Edward T</v>
      </c>
      <c r="B759" s="12" t="str">
        <f ca="1">IFERROR(__xludf.DUMMYFUNCTION("""COMPUTED_VALUE""")," Edward T Welch")</f>
        <v xml:space="preserve"> Edward T Welch</v>
      </c>
      <c r="C759" s="12" t="str">
        <f ca="1">IFERROR(__xludf.DUMMYFUNCTION("""COMPUTED_VALUE"""),"Addictions")</f>
        <v>Addictions</v>
      </c>
      <c r="D759" s="12"/>
      <c r="E759" s="12" t="str">
        <f ca="1">IFERROR(__xludf.DUMMYFUNCTION("""COMPUTED_VALUE"""),"Book")</f>
        <v>Book</v>
      </c>
      <c r="F759" s="12" t="str">
        <f ca="1">IFERROR(__xludf.DUMMYFUNCTION("""COMPUTED_VALUE"""),"Understanding Mankind")</f>
        <v>Understanding Mankind</v>
      </c>
      <c r="G759" s="12"/>
      <c r="H759" s="12"/>
      <c r="I759" s="12"/>
      <c r="J759" s="12" t="str">
        <f ca="1">IFERROR(__xludf.DUMMYFUNCTION("""COMPUTED_VALUE"""),"Addiction")</f>
        <v>Addiction</v>
      </c>
      <c r="K759" s="13">
        <f ca="1">IFERROR(__xludf.DUMMYFUNCTION("""COMPUTED_VALUE"""),40040)</f>
        <v>40040</v>
      </c>
      <c r="L759" s="12"/>
      <c r="M759" s="12"/>
      <c r="N759" s="12" t="str">
        <f ca="1">IFERROR(__xludf.DUMMYFUNCTION("""COMPUTED_VALUE"""),"Table1")</f>
        <v>Table1</v>
      </c>
    </row>
    <row r="760" spans="1:14" ht="15.75" customHeight="1" x14ac:dyDescent="0.35">
      <c r="A760" s="12" t="str">
        <f ca="1">IFERROR(__xludf.DUMMYFUNCTION("""COMPUTED_VALUE"""),"Welch, Edward T")</f>
        <v>Welch, Edward T</v>
      </c>
      <c r="B760" s="12" t="str">
        <f ca="1">IFERROR(__xludf.DUMMYFUNCTION("""COMPUTED_VALUE""")," Edward T Welch")</f>
        <v xml:space="preserve"> Edward T Welch</v>
      </c>
      <c r="C760" s="12" t="str">
        <f ca="1">IFERROR(__xludf.DUMMYFUNCTION("""COMPUTED_VALUE"""),"Blame It On the Brain: Distinguishing Chemical Imbalances, Brain Disorders, and Disobedience")</f>
        <v>Blame It On the Brain: Distinguishing Chemical Imbalances, Brain Disorders, and Disobedience</v>
      </c>
      <c r="D760" s="12"/>
      <c r="E760" s="12" t="str">
        <f ca="1">IFERROR(__xludf.DUMMYFUNCTION("""COMPUTED_VALUE"""),"Book")</f>
        <v>Book</v>
      </c>
      <c r="F760" s="12" t="str">
        <f ca="1">IFERROR(__xludf.DUMMYFUNCTION("""COMPUTED_VALUE"""),"Understanding Mankind")</f>
        <v>Understanding Mankind</v>
      </c>
      <c r="G760" s="12"/>
      <c r="H760" s="12"/>
      <c r="I760" s="12"/>
      <c r="J760" s="12" t="str">
        <f ca="1">IFERROR(__xludf.DUMMYFUNCTION("""COMPUTED_VALUE"""),"Counseling")</f>
        <v>Counseling</v>
      </c>
      <c r="K760" s="13">
        <f ca="1">IFERROR(__xludf.DUMMYFUNCTION("""COMPUTED_VALUE"""),40041)</f>
        <v>40041</v>
      </c>
      <c r="L760" s="12"/>
      <c r="M760" s="12"/>
      <c r="N760" s="12" t="str">
        <f ca="1">IFERROR(__xludf.DUMMYFUNCTION("""COMPUTED_VALUE"""),"Table1")</f>
        <v>Table1</v>
      </c>
    </row>
    <row r="761" spans="1:14" ht="15.75" customHeight="1" x14ac:dyDescent="0.35">
      <c r="A761" s="12" t="str">
        <f ca="1">IFERROR(__xludf.DUMMYFUNCTION("""COMPUTED_VALUE"""),"Welch, Edward T")</f>
        <v>Welch, Edward T</v>
      </c>
      <c r="B761" s="12" t="str">
        <f ca="1">IFERROR(__xludf.DUMMYFUNCTION("""COMPUTED_VALUE""")," Edward T Welch")</f>
        <v xml:space="preserve"> Edward T Welch</v>
      </c>
      <c r="C761" s="12" t="str">
        <f ca="1">IFERROR(__xludf.DUMMYFUNCTION("""COMPUTED_VALUE"""),"Depression, a Stubborn Darkness")</f>
        <v>Depression, a Stubborn Darkness</v>
      </c>
      <c r="D761" s="12"/>
      <c r="E761" s="12" t="str">
        <f ca="1">IFERROR(__xludf.DUMMYFUNCTION("""COMPUTED_VALUE"""),"Book")</f>
        <v>Book</v>
      </c>
      <c r="F761" s="12" t="str">
        <f ca="1">IFERROR(__xludf.DUMMYFUNCTION("""COMPUTED_VALUE"""),"Understanding Mankind")</f>
        <v>Understanding Mankind</v>
      </c>
      <c r="G761" s="12"/>
      <c r="H761" s="12"/>
      <c r="I761" s="12"/>
      <c r="J761" s="12" t="str">
        <f ca="1">IFERROR(__xludf.DUMMYFUNCTION("""COMPUTED_VALUE"""),"Depression")</f>
        <v>Depression</v>
      </c>
      <c r="K761" s="13">
        <f ca="1">IFERROR(__xludf.DUMMYFUNCTION("""COMPUTED_VALUE"""),40042)</f>
        <v>40042</v>
      </c>
      <c r="L761" s="12"/>
      <c r="M761" s="12"/>
      <c r="N761" s="12" t="str">
        <f ca="1">IFERROR(__xludf.DUMMYFUNCTION("""COMPUTED_VALUE"""),"Table1")</f>
        <v>Table1</v>
      </c>
    </row>
    <row r="762" spans="1:14" ht="15.75" customHeight="1" x14ac:dyDescent="0.35">
      <c r="A762" s="12" t="str">
        <f ca="1">IFERROR(__xludf.DUMMYFUNCTION("""COMPUTED_VALUE"""),"Welch, Edward T")</f>
        <v>Welch, Edward T</v>
      </c>
      <c r="B762" s="12" t="str">
        <f ca="1">IFERROR(__xludf.DUMMYFUNCTION("""COMPUTED_VALUE""")," Edward T Welch")</f>
        <v xml:space="preserve"> Edward T Welch</v>
      </c>
      <c r="C762" s="12" t="str">
        <f ca="1">IFERROR(__xludf.DUMMYFUNCTION("""COMPUTED_VALUE"""),"Depression, Looking up from the Stubborn Darkness")</f>
        <v>Depression, Looking up from the Stubborn Darkness</v>
      </c>
      <c r="D762" s="12"/>
      <c r="E762" s="12" t="str">
        <f ca="1">IFERROR(__xludf.DUMMYFUNCTION("""COMPUTED_VALUE"""),"Book")</f>
        <v>Book</v>
      </c>
      <c r="F762" s="12" t="str">
        <f ca="1">IFERROR(__xludf.DUMMYFUNCTION("""COMPUTED_VALUE"""),"Understanding Mankind")</f>
        <v>Understanding Mankind</v>
      </c>
      <c r="G762" s="12"/>
      <c r="H762" s="12"/>
      <c r="I762" s="12"/>
      <c r="J762" s="12" t="str">
        <f ca="1">IFERROR(__xludf.DUMMYFUNCTION("""COMPUTED_VALUE"""),"Depression")</f>
        <v>Depression</v>
      </c>
      <c r="K762" s="13">
        <f ca="1">IFERROR(__xludf.DUMMYFUNCTION("""COMPUTED_VALUE"""),41225)</f>
        <v>41225</v>
      </c>
      <c r="L762" s="12"/>
      <c r="M762" s="12"/>
      <c r="N762" s="12" t="str">
        <f ca="1">IFERROR(__xludf.DUMMYFUNCTION("""COMPUTED_VALUE"""),"Table1")</f>
        <v>Table1</v>
      </c>
    </row>
    <row r="763" spans="1:14" ht="15.75" customHeight="1" x14ac:dyDescent="0.35">
      <c r="A763" s="12" t="str">
        <f ca="1">IFERROR(__xludf.DUMMYFUNCTION("""COMPUTED_VALUE"""),"Welch, Edward T")</f>
        <v>Welch, Edward T</v>
      </c>
      <c r="B763" s="12" t="str">
        <f ca="1">IFERROR(__xludf.DUMMYFUNCTION("""COMPUTED_VALUE""")," Edward T Welch")</f>
        <v xml:space="preserve"> Edward T Welch</v>
      </c>
      <c r="C763" s="12" t="str">
        <f ca="1">IFERROR(__xludf.DUMMYFUNCTION("""COMPUTED_VALUE"""),"Henry Says Good-Bye")</f>
        <v>Henry Says Good-Bye</v>
      </c>
      <c r="D763" s="12" t="str">
        <f ca="1">IFERROR(__xludf.DUMMYFUNCTION("""COMPUTED_VALUE"""),"Good News for Little Hearts")</f>
        <v>Good News for Little Hearts</v>
      </c>
      <c r="E763" s="12" t="str">
        <f ca="1">IFERROR(__xludf.DUMMYFUNCTION("""COMPUTED_VALUE"""),"Book")</f>
        <v>Book</v>
      </c>
      <c r="F763" s="12" t="str">
        <f ca="1">IFERROR(__xludf.DUMMYFUNCTION("""COMPUTED_VALUE"""),"Children")</f>
        <v>Children</v>
      </c>
      <c r="G763" s="12"/>
      <c r="H763" s="12"/>
      <c r="I763" s="12"/>
      <c r="J763" s="12"/>
      <c r="K763" s="13">
        <f ca="1">IFERROR(__xludf.DUMMYFUNCTION("""COMPUTED_VALUE"""),43831)</f>
        <v>43831</v>
      </c>
      <c r="L763" s="12"/>
      <c r="M763" s="12"/>
      <c r="N763" s="12" t="str">
        <f ca="1">IFERROR(__xludf.DUMMYFUNCTION("""COMPUTED_VALUE"""),"Table1")</f>
        <v>Table1</v>
      </c>
    </row>
    <row r="764" spans="1:14" ht="15.75" customHeight="1" x14ac:dyDescent="0.35">
      <c r="A764" s="12" t="str">
        <f ca="1">IFERROR(__xludf.DUMMYFUNCTION("""COMPUTED_VALUE"""),"Welch, Edward T")</f>
        <v>Welch, Edward T</v>
      </c>
      <c r="B764" s="12" t="str">
        <f ca="1">IFERROR(__xludf.DUMMYFUNCTION("""COMPUTED_VALUE""")," Edward T Welch")</f>
        <v xml:space="preserve"> Edward T Welch</v>
      </c>
      <c r="C764" s="12" t="str">
        <f ca="1">IFERROR(__xludf.DUMMYFUNCTION("""COMPUTED_VALUE"""),"On Anger")</f>
        <v>On Anger</v>
      </c>
      <c r="D764" s="12" t="str">
        <f ca="1">IFERROR(__xludf.DUMMYFUNCTION("""COMPUTED_VALUE"""),"JBC Must Reads")</f>
        <v>JBC Must Reads</v>
      </c>
      <c r="E764" s="12" t="str">
        <f ca="1">IFERROR(__xludf.DUMMYFUNCTION("""COMPUTED_VALUE"""),"Book")</f>
        <v>Book</v>
      </c>
      <c r="F764" s="12" t="str">
        <f ca="1">IFERROR(__xludf.DUMMYFUNCTION("""COMPUTED_VALUE"""),"Understanding Mankind")</f>
        <v>Understanding Mankind</v>
      </c>
      <c r="G764" s="12"/>
      <c r="H764" s="12"/>
      <c r="I764" s="12"/>
      <c r="J764" s="12" t="str">
        <f ca="1">IFERROR(__xludf.DUMMYFUNCTION("""COMPUTED_VALUE"""),"Anger")</f>
        <v>Anger</v>
      </c>
      <c r="K764" s="13">
        <f ca="1">IFERROR(__xludf.DUMMYFUNCTION("""COMPUTED_VALUE"""),41773)</f>
        <v>41773</v>
      </c>
      <c r="L764" s="12"/>
      <c r="M764" s="12"/>
      <c r="N764" s="12" t="str">
        <f ca="1">IFERROR(__xludf.DUMMYFUNCTION("""COMPUTED_VALUE"""),"Table1")</f>
        <v>Table1</v>
      </c>
    </row>
    <row r="765" spans="1:14" ht="15.75" customHeight="1" x14ac:dyDescent="0.35">
      <c r="A765" s="12" t="str">
        <f ca="1">IFERROR(__xludf.DUMMYFUNCTION("""COMPUTED_VALUE"""),"Welch, Edward T")</f>
        <v>Welch, Edward T</v>
      </c>
      <c r="B765" s="12" t="str">
        <f ca="1">IFERROR(__xludf.DUMMYFUNCTION("""COMPUTED_VALUE""")," Edward T Welch")</f>
        <v xml:space="preserve"> Edward T Welch</v>
      </c>
      <c r="C765" s="12" t="str">
        <f ca="1">IFERROR(__xludf.DUMMYFUNCTION("""COMPUTED_VALUE"""),"Running Scared: Fear, Worry, and the God of Rest")</f>
        <v>Running Scared: Fear, Worry, and the God of Rest</v>
      </c>
      <c r="D765" s="12"/>
      <c r="E765" s="12" t="str">
        <f ca="1">IFERROR(__xludf.DUMMYFUNCTION("""COMPUTED_VALUE"""),"Book")</f>
        <v>Book</v>
      </c>
      <c r="F765" s="12" t="str">
        <f ca="1">IFERROR(__xludf.DUMMYFUNCTION("""COMPUTED_VALUE"""),"Understanding Mankind")</f>
        <v>Understanding Mankind</v>
      </c>
      <c r="G765" s="12"/>
      <c r="H765" s="12"/>
      <c r="I765" s="12"/>
      <c r="J765" s="12" t="str">
        <f ca="1">IFERROR(__xludf.DUMMYFUNCTION("""COMPUTED_VALUE"""),"Fear, Anxiety")</f>
        <v>Fear, Anxiety</v>
      </c>
      <c r="K765" s="13">
        <f ca="1">IFERROR(__xludf.DUMMYFUNCTION("""COMPUTED_VALUE"""),40043)</f>
        <v>40043</v>
      </c>
      <c r="L765" s="12"/>
      <c r="M765" s="12"/>
      <c r="N765" s="12" t="str">
        <f ca="1">IFERROR(__xludf.DUMMYFUNCTION("""COMPUTED_VALUE"""),"Table1")</f>
        <v>Table1</v>
      </c>
    </row>
    <row r="766" spans="1:14" ht="15.75" customHeight="1" x14ac:dyDescent="0.35">
      <c r="A766" s="12" t="str">
        <f ca="1">IFERROR(__xludf.DUMMYFUNCTION("""COMPUTED_VALUE"""),"Welch, Edward T")</f>
        <v>Welch, Edward T</v>
      </c>
      <c r="B766" s="12" t="str">
        <f ca="1">IFERROR(__xludf.DUMMYFUNCTION("""COMPUTED_VALUE""")," Edward T Welch")</f>
        <v xml:space="preserve"> Edward T Welch</v>
      </c>
      <c r="C766" s="12" t="str">
        <f ca="1">IFERROR(__xludf.DUMMYFUNCTION("""COMPUTED_VALUE"""),"Shame Interrupted: How God Lifts the Pain of Worthlessness and Rejection")</f>
        <v>Shame Interrupted: How God Lifts the Pain of Worthlessness and Rejection</v>
      </c>
      <c r="D766" s="12"/>
      <c r="E766" s="12" t="str">
        <f ca="1">IFERROR(__xludf.DUMMYFUNCTION("""COMPUTED_VALUE"""),"Book")</f>
        <v>Book</v>
      </c>
      <c r="F766" s="12" t="str">
        <f ca="1">IFERROR(__xludf.DUMMYFUNCTION("""COMPUTED_VALUE"""),"Understanding Mankind")</f>
        <v>Understanding Mankind</v>
      </c>
      <c r="G766" s="12"/>
      <c r="H766" s="12"/>
      <c r="I766" s="12"/>
      <c r="J766" s="12" t="str">
        <f ca="1">IFERROR(__xludf.DUMMYFUNCTION("""COMPUTED_VALUE"""),"Shame")</f>
        <v>Shame</v>
      </c>
      <c r="K766" s="13">
        <f ca="1">IFERROR(__xludf.DUMMYFUNCTION("""COMPUTED_VALUE"""),41621)</f>
        <v>41621</v>
      </c>
      <c r="L766" s="12"/>
      <c r="M766" s="12"/>
      <c r="N766" s="12" t="str">
        <f ca="1">IFERROR(__xludf.DUMMYFUNCTION("""COMPUTED_VALUE"""),"Table1")</f>
        <v>Table1</v>
      </c>
    </row>
    <row r="767" spans="1:14" ht="15.75" customHeight="1" x14ac:dyDescent="0.35">
      <c r="A767" s="12" t="str">
        <f ca="1">IFERROR(__xludf.DUMMYFUNCTION("""COMPUTED_VALUE"""),"Welch, Edward T")</f>
        <v>Welch, Edward T</v>
      </c>
      <c r="B767" s="12" t="str">
        <f ca="1">IFERROR(__xludf.DUMMYFUNCTION("""COMPUTED_VALUE""")," Edward T Welch")</f>
        <v xml:space="preserve"> Edward T Welch</v>
      </c>
      <c r="C767" s="12" t="str">
        <f ca="1">IFERROR(__xludf.DUMMYFUNCTION("""COMPUTED_VALUE"""),"Side by Side: Walking with Others in Wisdom and Love")</f>
        <v>Side by Side: Walking with Others in Wisdom and Love</v>
      </c>
      <c r="D767" s="12"/>
      <c r="E767" s="12" t="str">
        <f ca="1">IFERROR(__xludf.DUMMYFUNCTION("""COMPUTED_VALUE"""),"Book")</f>
        <v>Book</v>
      </c>
      <c r="F767" s="12" t="str">
        <f ca="1">IFERROR(__xludf.DUMMYFUNCTION("""COMPUTED_VALUE"""),"Understanding Mankind")</f>
        <v>Understanding Mankind</v>
      </c>
      <c r="G767" s="12"/>
      <c r="H767" s="12"/>
      <c r="I767" s="12"/>
      <c r="J767" s="12" t="str">
        <f ca="1">IFERROR(__xludf.DUMMYFUNCTION("""COMPUTED_VALUE"""),"Relationships, Fellowship")</f>
        <v>Relationships, Fellowship</v>
      </c>
      <c r="K767" s="13">
        <f ca="1">IFERROR(__xludf.DUMMYFUNCTION("""COMPUTED_VALUE"""),42200)</f>
        <v>42200</v>
      </c>
      <c r="L767" s="12"/>
      <c r="M767" s="12"/>
      <c r="N767" s="12" t="str">
        <f ca="1">IFERROR(__xludf.DUMMYFUNCTION("""COMPUTED_VALUE"""),"Table1")</f>
        <v>Table1</v>
      </c>
    </row>
    <row r="768" spans="1:14" ht="15.75" customHeight="1" x14ac:dyDescent="0.35">
      <c r="A768" s="12" t="str">
        <f ca="1">IFERROR(__xludf.DUMMYFUNCTION("""COMPUTED_VALUE"""),"Welch, Edward T")</f>
        <v>Welch, Edward T</v>
      </c>
      <c r="B768" s="12" t="str">
        <f ca="1">IFERROR(__xludf.DUMMYFUNCTION("""COMPUTED_VALUE""")," Edward T Welch")</f>
        <v xml:space="preserve"> Edward T Welch</v>
      </c>
      <c r="C768" s="12" t="str">
        <f ca="1">IFERROR(__xludf.DUMMYFUNCTION("""COMPUTED_VALUE"""),"A Small Book About a Big Problem: Meditations on Anger, Patience, and Peace")</f>
        <v>A Small Book About a Big Problem: Meditations on Anger, Patience, and Peace</v>
      </c>
      <c r="D768" s="12"/>
      <c r="E768" s="12" t="str">
        <f ca="1">IFERROR(__xludf.DUMMYFUNCTION("""COMPUTED_VALUE"""),"book")</f>
        <v>book</v>
      </c>
      <c r="F768" s="12" t="str">
        <f ca="1">IFERROR(__xludf.DUMMYFUNCTION("""COMPUTED_VALUE"""),"Understanding Mankind")</f>
        <v>Understanding Mankind</v>
      </c>
      <c r="G768" s="12"/>
      <c r="H768" s="12"/>
      <c r="I768" s="12"/>
      <c r="J768" s="12" t="str">
        <f ca="1">IFERROR(__xludf.DUMMYFUNCTION("""COMPUTED_VALUE"""),"Anger")</f>
        <v>Anger</v>
      </c>
      <c r="K768" s="13">
        <f ca="1">IFERROR(__xludf.DUMMYFUNCTION("""COMPUTED_VALUE"""),43046)</f>
        <v>43046</v>
      </c>
      <c r="L768" s="12"/>
      <c r="M768" s="12"/>
      <c r="N768" s="12" t="str">
        <f ca="1">IFERROR(__xludf.DUMMYFUNCTION("""COMPUTED_VALUE"""),"Table1")</f>
        <v>Table1</v>
      </c>
    </row>
    <row r="769" spans="1:14" ht="15.75" customHeight="1" x14ac:dyDescent="0.35">
      <c r="A769" s="12" t="str">
        <f ca="1">IFERROR(__xludf.DUMMYFUNCTION("""COMPUTED_VALUE"""),"Welch, Edward T")</f>
        <v>Welch, Edward T</v>
      </c>
      <c r="B769" s="12" t="str">
        <f ca="1">IFERROR(__xludf.DUMMYFUNCTION("""COMPUTED_VALUE""")," Edward T Welch")</f>
        <v xml:space="preserve"> Edward T Welch</v>
      </c>
      <c r="C769" s="12" t="str">
        <f ca="1">IFERROR(__xludf.DUMMYFUNCTION("""COMPUTED_VALUE"""),"What Do You Think of Me?  Why Do I Care?")</f>
        <v>What Do You Think of Me?  Why Do I Care?</v>
      </c>
      <c r="D769" s="12"/>
      <c r="E769" s="12" t="str">
        <f ca="1">IFERROR(__xludf.DUMMYFUNCTION("""COMPUTED_VALUE"""),"Book")</f>
        <v>Book</v>
      </c>
      <c r="F769" s="12" t="str">
        <f ca="1">IFERROR(__xludf.DUMMYFUNCTION("""COMPUTED_VALUE"""),"Understanding Mankind")</f>
        <v>Understanding Mankind</v>
      </c>
      <c r="G769" s="12"/>
      <c r="H769" s="12"/>
      <c r="I769" s="12"/>
      <c r="J769" s="12" t="str">
        <f ca="1">IFERROR(__xludf.DUMMYFUNCTION("""COMPUTED_VALUE"""),"Relationships")</f>
        <v>Relationships</v>
      </c>
      <c r="K769" s="13">
        <f ca="1">IFERROR(__xludf.DUMMYFUNCTION("""COMPUTED_VALUE"""),41468)</f>
        <v>41468</v>
      </c>
      <c r="L769" s="12"/>
      <c r="M769" s="12"/>
      <c r="N769" s="12" t="str">
        <f ca="1">IFERROR(__xludf.DUMMYFUNCTION("""COMPUTED_VALUE"""),"Table1")</f>
        <v>Table1</v>
      </c>
    </row>
    <row r="770" spans="1:14" ht="15.75" customHeight="1" x14ac:dyDescent="0.35">
      <c r="A770" s="12" t="str">
        <f ca="1">IFERROR(__xludf.DUMMYFUNCTION("""COMPUTED_VALUE"""),"Welch, Edward T")</f>
        <v>Welch, Edward T</v>
      </c>
      <c r="B770" s="12" t="str">
        <f ca="1">IFERROR(__xludf.DUMMYFUNCTION("""COMPUTED_VALUE""")," Edward T Welch")</f>
        <v xml:space="preserve"> Edward T Welch</v>
      </c>
      <c r="C770" s="12" t="str">
        <f ca="1">IFERROR(__xludf.DUMMYFUNCTION("""COMPUTED_VALUE"""),"When People Are Big and God is Small")</f>
        <v>When People Are Big and God is Small</v>
      </c>
      <c r="D770" s="12"/>
      <c r="E770" s="12" t="str">
        <f ca="1">IFERROR(__xludf.DUMMYFUNCTION("""COMPUTED_VALUE"""),"Book")</f>
        <v>Book</v>
      </c>
      <c r="F770" s="12" t="str">
        <f ca="1">IFERROR(__xludf.DUMMYFUNCTION("""COMPUTED_VALUE"""),"Understanding Mankind")</f>
        <v>Understanding Mankind</v>
      </c>
      <c r="G770" s="12"/>
      <c r="H770" s="12"/>
      <c r="I770" s="12"/>
      <c r="J770" s="12" t="str">
        <f ca="1">IFERROR(__xludf.DUMMYFUNCTION("""COMPUTED_VALUE"""),"Relationships")</f>
        <v>Relationships</v>
      </c>
      <c r="K770" s="13">
        <f ca="1">IFERROR(__xludf.DUMMYFUNCTION("""COMPUTED_VALUE"""),40044)</f>
        <v>40044</v>
      </c>
      <c r="L770" s="12"/>
      <c r="M770" s="12"/>
      <c r="N770" s="12" t="str">
        <f ca="1">IFERROR(__xludf.DUMMYFUNCTION("""COMPUTED_VALUE"""),"Table1")</f>
        <v>Table1</v>
      </c>
    </row>
    <row r="771" spans="1:14" ht="15.75" customHeight="1" x14ac:dyDescent="0.35">
      <c r="A771" s="12" t="str">
        <f ca="1">IFERROR(__xludf.DUMMYFUNCTION("""COMPUTED_VALUE"""),"Welch, Edward T.")</f>
        <v>Welch, Edward T.</v>
      </c>
      <c r="B771" s="12" t="str">
        <f ca="1">IFERROR(__xludf.DUMMYFUNCTION("""COMPUTED_VALUE""")," Edward T. Welch")</f>
        <v xml:space="preserve"> Edward T. Welch</v>
      </c>
      <c r="C771" s="12" t="str">
        <f ca="1">IFERROR(__xludf.DUMMYFUNCTION("""COMPUTED_VALUE"""),"Buster's Ears Trip Him Up")</f>
        <v>Buster's Ears Trip Him Up</v>
      </c>
      <c r="D771" s="12"/>
      <c r="E771" s="12" t="str">
        <f ca="1">IFERROR(__xludf.DUMMYFUNCTION("""COMPUTED_VALUE"""),"Book")</f>
        <v>Book</v>
      </c>
      <c r="F771" s="12" t="str">
        <f ca="1">IFERROR(__xludf.DUMMYFUNCTION("""COMPUTED_VALUE"""),"Children")</f>
        <v>Children</v>
      </c>
      <c r="G771" s="12"/>
      <c r="H771" s="12"/>
      <c r="I771" s="12"/>
      <c r="J771" s="12"/>
      <c r="K771" s="13"/>
      <c r="L771" s="12"/>
      <c r="M771" s="12"/>
      <c r="N771" s="12" t="str">
        <f ca="1">IFERROR(__xludf.DUMMYFUNCTION("""COMPUTED_VALUE"""),"Table1")</f>
        <v>Table1</v>
      </c>
    </row>
    <row r="772" spans="1:14" ht="15.75" customHeight="1" x14ac:dyDescent="0.35">
      <c r="A772" s="12" t="str">
        <f ca="1">IFERROR(__xludf.DUMMYFUNCTION("""COMPUTED_VALUE"""),"Welch, Edward T.")</f>
        <v>Welch, Edward T.</v>
      </c>
      <c r="B772" s="12" t="str">
        <f ca="1">IFERROR(__xludf.DUMMYFUNCTION("""COMPUTED_VALUE""")," Edward T. Welch")</f>
        <v xml:space="preserve"> Edward T. Welch</v>
      </c>
      <c r="C772" s="12" t="str">
        <f ca="1">IFERROR(__xludf.DUMMYFUNCTION("""COMPUTED_VALUE"""),"Created to Draw Near")</f>
        <v>Created to Draw Near</v>
      </c>
      <c r="D772" s="12"/>
      <c r="E772" s="12" t="str">
        <f ca="1">IFERROR(__xludf.DUMMYFUNCTION("""COMPUTED_VALUE"""),"Book")</f>
        <v>Book</v>
      </c>
      <c r="F772" s="12" t="str">
        <f ca="1">IFERROR(__xludf.DUMMYFUNCTION("""COMPUTED_VALUE"""),"Discipleship")</f>
        <v>Discipleship</v>
      </c>
      <c r="G772" s="12"/>
      <c r="H772" s="12"/>
      <c r="I772" s="12"/>
      <c r="J772" s="12" t="str">
        <f ca="1">IFERROR(__xludf.DUMMYFUNCTION("""COMPUTED_VALUE"""),"Priesthood")</f>
        <v>Priesthood</v>
      </c>
      <c r="K772" s="13">
        <f ca="1">IFERROR(__xludf.DUMMYFUNCTION("""COMPUTED_VALUE"""),43832)</f>
        <v>43832</v>
      </c>
      <c r="L772" s="12"/>
      <c r="M772" s="12"/>
      <c r="N772" s="12" t="str">
        <f ca="1">IFERROR(__xludf.DUMMYFUNCTION("""COMPUTED_VALUE"""),"Table1")</f>
        <v>Table1</v>
      </c>
    </row>
    <row r="773" spans="1:14" ht="15.75" customHeight="1" x14ac:dyDescent="0.35">
      <c r="A773" s="12" t="str">
        <f ca="1">IFERROR(__xludf.DUMMYFUNCTION("""COMPUTED_VALUE"""),"Welch, Edward T. (editor)")</f>
        <v>Welch, Edward T. (editor)</v>
      </c>
      <c r="B773" s="12" t="str">
        <f ca="1">IFERROR(__xludf.DUMMYFUNCTION("""COMPUTED_VALUE""")," Edward T. (editor) Welch")</f>
        <v xml:space="preserve"> Edward T. (editor) Welch</v>
      </c>
      <c r="C773" s="12" t="str">
        <f ca="1">IFERROR(__xludf.DUMMYFUNCTION("""COMPUTED_VALUE"""),"Caspian Crashes the Party: When You Are Jealous")</f>
        <v>Caspian Crashes the Party: When You Are Jealous</v>
      </c>
      <c r="D773" s="12" t="str">
        <f ca="1">IFERROR(__xludf.DUMMYFUNCTION("""COMPUTED_VALUE"""),"Good News for Little Hearts")</f>
        <v>Good News for Little Hearts</v>
      </c>
      <c r="E773" s="12" t="str">
        <f ca="1">IFERROR(__xludf.DUMMYFUNCTION("""COMPUTED_VALUE"""),"Book")</f>
        <v>Book</v>
      </c>
      <c r="F773" s="12" t="str">
        <f ca="1">IFERROR(__xludf.DUMMYFUNCTION("""COMPUTED_VALUE"""),"Children")</f>
        <v>Children</v>
      </c>
      <c r="G773" s="12"/>
      <c r="H773" s="12"/>
      <c r="I773" s="12"/>
      <c r="J773" s="12" t="str">
        <f ca="1">IFERROR(__xludf.DUMMYFUNCTION("""COMPUTED_VALUE"""),"Jealousy")</f>
        <v>Jealousy</v>
      </c>
      <c r="K773" s="13">
        <f ca="1">IFERROR(__xludf.DUMMYFUNCTION("""COMPUTED_VALUE"""),43832)</f>
        <v>43832</v>
      </c>
      <c r="L773" s="12"/>
      <c r="M773" s="12"/>
      <c r="N773" s="12" t="str">
        <f ca="1">IFERROR(__xludf.DUMMYFUNCTION("""COMPUTED_VALUE"""),"Table1")</f>
        <v>Table1</v>
      </c>
    </row>
    <row r="774" spans="1:14" ht="15.75" customHeight="1" x14ac:dyDescent="0.35">
      <c r="A774" s="12" t="str">
        <f ca="1">IFERROR(__xludf.DUMMYFUNCTION("""COMPUTED_VALUE"""),"Wells, David R.")</f>
        <v>Wells, David R.</v>
      </c>
      <c r="B774" s="12" t="str">
        <f ca="1">IFERROR(__xludf.DUMMYFUNCTION("""COMPUTED_VALUE""")," David R. Wells")</f>
        <v xml:space="preserve"> David R. Wells</v>
      </c>
      <c r="C774" s="12" t="str">
        <f ca="1">IFERROR(__xludf.DUMMYFUNCTION("""COMPUTED_VALUE"""),"Above All Earthly Powers: Christ in a Postmodern World")</f>
        <v>Above All Earthly Powers: Christ in a Postmodern World</v>
      </c>
      <c r="D774" s="12"/>
      <c r="E774" s="12" t="str">
        <f ca="1">IFERROR(__xludf.DUMMYFUNCTION("""COMPUTED_VALUE"""),"Book")</f>
        <v>Book</v>
      </c>
      <c r="F774" s="12" t="str">
        <f ca="1">IFERROR(__xludf.DUMMYFUNCTION("""COMPUTED_VALUE"""),"Worldview")</f>
        <v>Worldview</v>
      </c>
      <c r="G774" s="12"/>
      <c r="H774" s="12"/>
      <c r="I774" s="12"/>
      <c r="J774" s="12" t="str">
        <f ca="1">IFERROR(__xludf.DUMMYFUNCTION("""COMPUTED_VALUE"""),"Postmodernism")</f>
        <v>Postmodernism</v>
      </c>
      <c r="K774" s="13">
        <f ca="1">IFERROR(__xludf.DUMMYFUNCTION("""COMPUTED_VALUE"""),40045)</f>
        <v>40045</v>
      </c>
      <c r="L774" s="12"/>
      <c r="M774" s="12"/>
      <c r="N774" s="12" t="str">
        <f ca="1">IFERROR(__xludf.DUMMYFUNCTION("""COMPUTED_VALUE"""),"Table1")</f>
        <v>Table1</v>
      </c>
    </row>
    <row r="775" spans="1:14" ht="15.75" customHeight="1" x14ac:dyDescent="0.35">
      <c r="A775" s="12" t="str">
        <f ca="1">IFERROR(__xludf.DUMMYFUNCTION("""COMPUTED_VALUE"""),"Wells, David R.")</f>
        <v>Wells, David R.</v>
      </c>
      <c r="B775" s="12" t="str">
        <f ca="1">IFERROR(__xludf.DUMMYFUNCTION("""COMPUTED_VALUE""")," David R. Wells")</f>
        <v xml:space="preserve"> David R. Wells</v>
      </c>
      <c r="C775" s="12" t="str">
        <f ca="1">IFERROR(__xludf.DUMMYFUNCTION("""COMPUTED_VALUE"""),"God in the Wastelands: The Reality of Truth in a World of Fading Dreams")</f>
        <v>God in the Wastelands: The Reality of Truth in a World of Fading Dreams</v>
      </c>
      <c r="D775" s="12"/>
      <c r="E775" s="12" t="str">
        <f ca="1">IFERROR(__xludf.DUMMYFUNCTION("""COMPUTED_VALUE"""),"Book")</f>
        <v>Book</v>
      </c>
      <c r="F775" s="12" t="str">
        <f ca="1">IFERROR(__xludf.DUMMYFUNCTION("""COMPUTED_VALUE"""),"Worldview")</f>
        <v>Worldview</v>
      </c>
      <c r="G775" s="12"/>
      <c r="H775" s="12"/>
      <c r="I775" s="12"/>
      <c r="J775" s="12" t="str">
        <f ca="1">IFERROR(__xludf.DUMMYFUNCTION("""COMPUTED_VALUE"""),"Church, Culture")</f>
        <v>Church, Culture</v>
      </c>
      <c r="K775" s="13">
        <f ca="1">IFERROR(__xludf.DUMMYFUNCTION("""COMPUTED_VALUE"""),40046)</f>
        <v>40046</v>
      </c>
      <c r="L775" s="12"/>
      <c r="M775" s="12"/>
      <c r="N775" s="12" t="str">
        <f ca="1">IFERROR(__xludf.DUMMYFUNCTION("""COMPUTED_VALUE"""),"Table1")</f>
        <v>Table1</v>
      </c>
    </row>
    <row r="776" spans="1:14" ht="15.75" customHeight="1" x14ac:dyDescent="0.35">
      <c r="A776" s="12" t="str">
        <f ca="1">IFERROR(__xludf.DUMMYFUNCTION("""COMPUTED_VALUE"""),"Wells, David R.")</f>
        <v>Wells, David R.</v>
      </c>
      <c r="B776" s="12" t="str">
        <f ca="1">IFERROR(__xludf.DUMMYFUNCTION("""COMPUTED_VALUE""")," David R. Wells")</f>
        <v xml:space="preserve"> David R. Wells</v>
      </c>
      <c r="C776" s="12" t="str">
        <f ca="1">IFERROR(__xludf.DUMMYFUNCTION("""COMPUTED_VALUE"""),"God in the Whirlwind: How the Holy-love of God Reorients Our World")</f>
        <v>God in the Whirlwind: How the Holy-love of God Reorients Our World</v>
      </c>
      <c r="D776" s="12"/>
      <c r="E776" s="12" t="str">
        <f ca="1">IFERROR(__xludf.DUMMYFUNCTION("""COMPUTED_VALUE"""),"Book")</f>
        <v>Book</v>
      </c>
      <c r="F776" s="12" t="str">
        <f ca="1">IFERROR(__xludf.DUMMYFUNCTION("""COMPUTED_VALUE"""),"Worldview")</f>
        <v>Worldview</v>
      </c>
      <c r="G776" s="12"/>
      <c r="H776" s="12"/>
      <c r="I776" s="12"/>
      <c r="J776" s="12" t="str">
        <f ca="1">IFERROR(__xludf.DUMMYFUNCTION("""COMPUTED_VALUE"""),"Church, Culture")</f>
        <v>Church, Culture</v>
      </c>
      <c r="K776" s="13">
        <f ca="1">IFERROR(__xludf.DUMMYFUNCTION("""COMPUTED_VALUE"""),41712)</f>
        <v>41712</v>
      </c>
      <c r="L776" s="12"/>
      <c r="M776" s="12"/>
      <c r="N776" s="12" t="str">
        <f ca="1">IFERROR(__xludf.DUMMYFUNCTION("""COMPUTED_VALUE"""),"Table1")</f>
        <v>Table1</v>
      </c>
    </row>
    <row r="777" spans="1:14" ht="15.75" customHeight="1" x14ac:dyDescent="0.35">
      <c r="A777" s="12" t="str">
        <f ca="1">IFERROR(__xludf.DUMMYFUNCTION("""COMPUTED_VALUE"""),"Wells, David R.")</f>
        <v>Wells, David R.</v>
      </c>
      <c r="B777" s="12" t="str">
        <f ca="1">IFERROR(__xludf.DUMMYFUNCTION("""COMPUTED_VALUE""")," David R. Wells")</f>
        <v xml:space="preserve"> David R. Wells</v>
      </c>
      <c r="C777" s="12" t="str">
        <f ca="1">IFERROR(__xludf.DUMMYFUNCTION("""COMPUTED_VALUE"""),"Losing Our Virtue: Why the Church Must Recover Its Moral Vision ")</f>
        <v xml:space="preserve">Losing Our Virtue: Why the Church Must Recover Its Moral Vision </v>
      </c>
      <c r="D777" s="12"/>
      <c r="E777" s="12" t="str">
        <f ca="1">IFERROR(__xludf.DUMMYFUNCTION("""COMPUTED_VALUE"""),"Book")</f>
        <v>Book</v>
      </c>
      <c r="F777" s="12" t="str">
        <f ca="1">IFERROR(__xludf.DUMMYFUNCTION("""COMPUTED_VALUE"""),"Worldview")</f>
        <v>Worldview</v>
      </c>
      <c r="G777" s="12"/>
      <c r="H777" s="12"/>
      <c r="I777" s="12"/>
      <c r="J777" s="12" t="str">
        <f ca="1">IFERROR(__xludf.DUMMYFUNCTION("""COMPUTED_VALUE"""),"Church, Culture")</f>
        <v>Church, Culture</v>
      </c>
      <c r="K777" s="13">
        <f ca="1">IFERROR(__xludf.DUMMYFUNCTION("""COMPUTED_VALUE"""),40047)</f>
        <v>40047</v>
      </c>
      <c r="L777" s="12"/>
      <c r="M777" s="12"/>
      <c r="N777" s="12" t="str">
        <f ca="1">IFERROR(__xludf.DUMMYFUNCTION("""COMPUTED_VALUE"""),"Table1")</f>
        <v>Table1</v>
      </c>
    </row>
    <row r="778" spans="1:14" ht="15.75" customHeight="1" x14ac:dyDescent="0.35">
      <c r="A778" s="12" t="str">
        <f ca="1">IFERROR(__xludf.DUMMYFUNCTION("""COMPUTED_VALUE"""),"Wells, David R.")</f>
        <v>Wells, David R.</v>
      </c>
      <c r="B778" s="12" t="str">
        <f ca="1">IFERROR(__xludf.DUMMYFUNCTION("""COMPUTED_VALUE""")," David R. Wells")</f>
        <v xml:space="preserve"> David R. Wells</v>
      </c>
      <c r="C778" s="12" t="str">
        <f ca="1">IFERROR(__xludf.DUMMYFUNCTION("""COMPUTED_VALUE"""),"No Place for Truth: or Whatever Happened to Evangelical Theology?")</f>
        <v>No Place for Truth: or Whatever Happened to Evangelical Theology?</v>
      </c>
      <c r="D778" s="12"/>
      <c r="E778" s="12" t="str">
        <f ca="1">IFERROR(__xludf.DUMMYFUNCTION("""COMPUTED_VALUE"""),"Book")</f>
        <v>Book</v>
      </c>
      <c r="F778" s="12" t="str">
        <f ca="1">IFERROR(__xludf.DUMMYFUNCTION("""COMPUTED_VALUE"""),"Worldview")</f>
        <v>Worldview</v>
      </c>
      <c r="G778" s="12"/>
      <c r="H778" s="12"/>
      <c r="I778" s="12"/>
      <c r="J778" s="12" t="str">
        <f ca="1">IFERROR(__xludf.DUMMYFUNCTION("""COMPUTED_VALUE"""),"Church, Culture")</f>
        <v>Church, Culture</v>
      </c>
      <c r="K778" s="13">
        <f ca="1">IFERROR(__xludf.DUMMYFUNCTION("""COMPUTED_VALUE"""),40048)</f>
        <v>40048</v>
      </c>
      <c r="L778" s="12"/>
      <c r="M778" s="12"/>
      <c r="N778" s="12" t="str">
        <f ca="1">IFERROR(__xludf.DUMMYFUNCTION("""COMPUTED_VALUE"""),"Table1")</f>
        <v>Table1</v>
      </c>
    </row>
    <row r="779" spans="1:14" ht="15.75" customHeight="1" x14ac:dyDescent="0.35">
      <c r="A779" s="12" t="str">
        <f ca="1">IFERROR(__xludf.DUMMYFUNCTION("""COMPUTED_VALUE"""),"Whelchel, Hugh")</f>
        <v>Whelchel, Hugh</v>
      </c>
      <c r="B779" s="12" t="str">
        <f ca="1">IFERROR(__xludf.DUMMYFUNCTION("""COMPUTED_VALUE""")," Hugh Whelchel")</f>
        <v xml:space="preserve"> Hugh Whelchel</v>
      </c>
      <c r="C779" s="12" t="str">
        <f ca="1">IFERROR(__xludf.DUMMYFUNCTION("""COMPUTED_VALUE"""),"HOW Then SHOULD We Work?: Rediscovering the Biblical Doctrine of Work")</f>
        <v>HOW Then SHOULD We Work?: Rediscovering the Biblical Doctrine of Work</v>
      </c>
      <c r="D779" s="12"/>
      <c r="E779" s="12" t="str">
        <f ca="1">IFERROR(__xludf.DUMMYFUNCTION("""COMPUTED_VALUE"""),"Book")</f>
        <v>Book</v>
      </c>
      <c r="F779" s="12" t="str">
        <f ca="1">IFERROR(__xludf.DUMMYFUNCTION("""COMPUTED_VALUE"""),"Discipleship")</f>
        <v>Discipleship</v>
      </c>
      <c r="G779" s="12"/>
      <c r="H779" s="12"/>
      <c r="I779" s="12"/>
      <c r="J779" s="12" t="str">
        <f ca="1">IFERROR(__xludf.DUMMYFUNCTION("""COMPUTED_VALUE"""),"Vocation")</f>
        <v>Vocation</v>
      </c>
      <c r="K779" s="13">
        <f ca="1">IFERROR(__xludf.DUMMYFUNCTION("""COMPUTED_VALUE"""),41468)</f>
        <v>41468</v>
      </c>
      <c r="L779" s="12"/>
      <c r="M779" s="12"/>
      <c r="N779" s="12" t="str">
        <f ca="1">IFERROR(__xludf.DUMMYFUNCTION("""COMPUTED_VALUE"""),"Table1")</f>
        <v>Table1</v>
      </c>
    </row>
    <row r="780" spans="1:14" ht="15.75" customHeight="1" x14ac:dyDescent="0.35">
      <c r="A780" s="12" t="str">
        <f ca="1">IFERROR(__xludf.DUMMYFUNCTION("""COMPUTED_VALUE"""),"White, David")</f>
        <v>White, David</v>
      </c>
      <c r="B780" s="12" t="str">
        <f ca="1">IFERROR(__xludf.DUMMYFUNCTION("""COMPUTED_VALUE""")," David White")</f>
        <v xml:space="preserve"> David White</v>
      </c>
      <c r="C780" s="12" t="str">
        <f ca="1">IFERROR(__xludf.DUMMYFUNCTION("""COMPUTED_VALUE"""),"Sexual Sanity for Men")</f>
        <v>Sexual Sanity for Men</v>
      </c>
      <c r="D780" s="12"/>
      <c r="E780" s="12" t="str">
        <f ca="1">IFERROR(__xludf.DUMMYFUNCTION("""COMPUTED_VALUE"""),"Book")</f>
        <v>Book</v>
      </c>
      <c r="F780" s="12" t="str">
        <f ca="1">IFERROR(__xludf.DUMMYFUNCTION("""COMPUTED_VALUE"""),"Understanding Mankind")</f>
        <v>Understanding Mankind</v>
      </c>
      <c r="G780" s="12"/>
      <c r="H780" s="12"/>
      <c r="I780" s="12"/>
      <c r="J780" s="12" t="str">
        <f ca="1">IFERROR(__xludf.DUMMYFUNCTION("""COMPUTED_VALUE"""),"Sexuality")</f>
        <v>Sexuality</v>
      </c>
      <c r="K780" s="13">
        <f ca="1">IFERROR(__xludf.DUMMYFUNCTION("""COMPUTED_VALUE"""),41346)</f>
        <v>41346</v>
      </c>
      <c r="L780" s="12"/>
      <c r="M780" s="12"/>
      <c r="N780" s="12" t="str">
        <f ca="1">IFERROR(__xludf.DUMMYFUNCTION("""COMPUTED_VALUE"""),"Table1")</f>
        <v>Table1</v>
      </c>
    </row>
    <row r="781" spans="1:14" ht="15.75" customHeight="1" x14ac:dyDescent="0.35">
      <c r="A781" s="12" t="str">
        <f ca="1">IFERROR(__xludf.DUMMYFUNCTION("""COMPUTED_VALUE"""),"White, James R.")</f>
        <v>White, James R.</v>
      </c>
      <c r="B781" s="12" t="str">
        <f ca="1">IFERROR(__xludf.DUMMYFUNCTION("""COMPUTED_VALUE""")," James R. White")</f>
        <v xml:space="preserve"> James R. White</v>
      </c>
      <c r="C781" s="12" t="str">
        <f ca="1">IFERROR(__xludf.DUMMYFUNCTION("""COMPUTED_VALUE"""),"What Every Christian Need to Know about the Qur'an")</f>
        <v>What Every Christian Need to Know about the Qur'an</v>
      </c>
      <c r="D781" s="12"/>
      <c r="E781" s="12" t="str">
        <f ca="1">IFERROR(__xludf.DUMMYFUNCTION("""COMPUTED_VALUE"""),"Book")</f>
        <v>Book</v>
      </c>
      <c r="F781" s="12" t="str">
        <f ca="1">IFERROR(__xludf.DUMMYFUNCTION("""COMPUTED_VALUE"""),"Worldview")</f>
        <v>Worldview</v>
      </c>
      <c r="G781" s="12"/>
      <c r="H781" s="12"/>
      <c r="I781" s="12"/>
      <c r="J781" s="12" t="str">
        <f ca="1">IFERROR(__xludf.DUMMYFUNCTION("""COMPUTED_VALUE"""),"World Religions")</f>
        <v>World Religions</v>
      </c>
      <c r="K781" s="13">
        <f ca="1">IFERROR(__xludf.DUMMYFUNCTION("""COMPUTED_VALUE"""),41468)</f>
        <v>41468</v>
      </c>
      <c r="L781" s="12"/>
      <c r="M781" s="12"/>
      <c r="N781" s="12" t="str">
        <f ca="1">IFERROR(__xludf.DUMMYFUNCTION("""COMPUTED_VALUE"""),"Table1")</f>
        <v>Table1</v>
      </c>
    </row>
    <row r="782" spans="1:14" ht="15.75" customHeight="1" x14ac:dyDescent="0.35">
      <c r="A782" s="12" t="str">
        <f ca="1">IFERROR(__xludf.DUMMYFUNCTION("""COMPUTED_VALUE"""),"White, Kathleen")</f>
        <v>White, Kathleen</v>
      </c>
      <c r="B782" s="12" t="str">
        <f ca="1">IFERROR(__xludf.DUMMYFUNCTION("""COMPUTED_VALUE""")," Kathleen White")</f>
        <v xml:space="preserve"> Kathleen White</v>
      </c>
      <c r="C782" s="12" t="str">
        <f ca="1">IFERROR(__xludf.DUMMYFUNCTION("""COMPUTED_VALUE"""),"John and Betty Stam")</f>
        <v>John and Betty Stam</v>
      </c>
      <c r="D782" s="12"/>
      <c r="E782" s="12" t="str">
        <f ca="1">IFERROR(__xludf.DUMMYFUNCTION("""COMPUTED_VALUE"""),"Book")</f>
        <v>Book</v>
      </c>
      <c r="F782" s="12" t="str">
        <f ca="1">IFERROR(__xludf.DUMMYFUNCTION("""COMPUTED_VALUE"""),"Biography")</f>
        <v>Biography</v>
      </c>
      <c r="G782" s="12"/>
      <c r="H782" s="12"/>
      <c r="I782" s="12"/>
      <c r="J782" s="12"/>
      <c r="K782" s="13">
        <f ca="1">IFERROR(__xludf.DUMMYFUNCTION("""COMPUTED_VALUE"""),40522)</f>
        <v>40522</v>
      </c>
      <c r="L782" s="12"/>
      <c r="M782" s="12"/>
      <c r="N782" s="12" t="str">
        <f ca="1">IFERROR(__xludf.DUMMYFUNCTION("""COMPUTED_VALUE"""),"Table1")</f>
        <v>Table1</v>
      </c>
    </row>
    <row r="783" spans="1:14" ht="15.75" customHeight="1" x14ac:dyDescent="0.35">
      <c r="A783" s="12" t="str">
        <f ca="1">IFERROR(__xludf.DUMMYFUNCTION("""COMPUTED_VALUE"""),"White, Paul")</f>
        <v>White, Paul</v>
      </c>
      <c r="B783" s="12" t="str">
        <f ca="1">IFERROR(__xludf.DUMMYFUNCTION("""COMPUTED_VALUE""")," Paul White")</f>
        <v xml:space="preserve"> Paul White</v>
      </c>
      <c r="C783" s="12" t="str">
        <f ca="1">IFERROR(__xludf.DUMMYFUNCTION("""COMPUTED_VALUE"""),"Eyes on Jungle Doctor")</f>
        <v>Eyes on Jungle Doctor</v>
      </c>
      <c r="D783" s="12" t="str">
        <f ca="1">IFERROR(__xludf.DUMMYFUNCTION("""COMPUTED_VALUE"""),"Jungle Doctor")</f>
        <v>Jungle Doctor</v>
      </c>
      <c r="E783" s="12" t="str">
        <f ca="1">IFERROR(__xludf.DUMMYFUNCTION("""COMPUTED_VALUE"""),"Book")</f>
        <v>Book</v>
      </c>
      <c r="F783" s="12" t="str">
        <f ca="1">IFERROR(__xludf.DUMMYFUNCTION("""COMPUTED_VALUE"""),"Children")</f>
        <v>Children</v>
      </c>
      <c r="G783" s="12"/>
      <c r="H783" s="12"/>
      <c r="I783" s="12"/>
      <c r="J783" s="12"/>
      <c r="K783" s="13">
        <f ca="1">IFERROR(__xludf.DUMMYFUNCTION("""COMPUTED_VALUE"""),41804)</f>
        <v>41804</v>
      </c>
      <c r="L783" s="12"/>
      <c r="M783" s="12"/>
      <c r="N783" s="12" t="str">
        <f ca="1">IFERROR(__xludf.DUMMYFUNCTION("""COMPUTED_VALUE"""),"Table1")</f>
        <v>Table1</v>
      </c>
    </row>
    <row r="784" spans="1:14" ht="15.75" customHeight="1" x14ac:dyDescent="0.35">
      <c r="A784" s="12" t="str">
        <f ca="1">IFERROR(__xludf.DUMMYFUNCTION("""COMPUTED_VALUE"""),"White, Paul")</f>
        <v>White, Paul</v>
      </c>
      <c r="B784" s="12" t="str">
        <f ca="1">IFERROR(__xludf.DUMMYFUNCTION("""COMPUTED_VALUE""")," Paul White")</f>
        <v xml:space="preserve"> Paul White</v>
      </c>
      <c r="C784" s="12" t="str">
        <f ca="1">IFERROR(__xludf.DUMMYFUNCTION("""COMPUTED_VALUE"""),"Jungle Doctor Spots a Leopard")</f>
        <v>Jungle Doctor Spots a Leopard</v>
      </c>
      <c r="D784" s="12" t="str">
        <f ca="1">IFERROR(__xludf.DUMMYFUNCTION("""COMPUTED_VALUE"""),"Jungle Doctor")</f>
        <v>Jungle Doctor</v>
      </c>
      <c r="E784" s="12" t="str">
        <f ca="1">IFERROR(__xludf.DUMMYFUNCTION("""COMPUTED_VALUE"""),"Book")</f>
        <v>Book</v>
      </c>
      <c r="F784" s="12" t="str">
        <f ca="1">IFERROR(__xludf.DUMMYFUNCTION("""COMPUTED_VALUE"""),"Children")</f>
        <v>Children</v>
      </c>
      <c r="G784" s="12"/>
      <c r="H784" s="12"/>
      <c r="I784" s="12"/>
      <c r="J784" s="12"/>
      <c r="K784" s="13">
        <f ca="1">IFERROR(__xludf.DUMMYFUNCTION("""COMPUTED_VALUE"""),41164)</f>
        <v>41164</v>
      </c>
      <c r="L784" s="12"/>
      <c r="M784" s="12"/>
      <c r="N784" s="12" t="str">
        <f ca="1">IFERROR(__xludf.DUMMYFUNCTION("""COMPUTED_VALUE"""),"Table1")</f>
        <v>Table1</v>
      </c>
    </row>
    <row r="785" spans="1:14" ht="15.75" customHeight="1" x14ac:dyDescent="0.35">
      <c r="A785" s="12" t="str">
        <f ca="1">IFERROR(__xludf.DUMMYFUNCTION("""COMPUTED_VALUE"""),"White, Paul")</f>
        <v>White, Paul</v>
      </c>
      <c r="B785" s="12" t="str">
        <f ca="1">IFERROR(__xludf.DUMMYFUNCTION("""COMPUTED_VALUE""")," Paul White")</f>
        <v xml:space="preserve"> Paul White</v>
      </c>
      <c r="C785" s="12" t="str">
        <f ca="1">IFERROR(__xludf.DUMMYFUNCTION("""COMPUTED_VALUE"""),"Jungle Doctor Stings a Scorpion")</f>
        <v>Jungle Doctor Stings a Scorpion</v>
      </c>
      <c r="D785" s="12" t="str">
        <f ca="1">IFERROR(__xludf.DUMMYFUNCTION("""COMPUTED_VALUE"""),"Jungle Doctor")</f>
        <v>Jungle Doctor</v>
      </c>
      <c r="E785" s="12" t="str">
        <f ca="1">IFERROR(__xludf.DUMMYFUNCTION("""COMPUTED_VALUE"""),"Book")</f>
        <v>Book</v>
      </c>
      <c r="F785" s="12" t="str">
        <f ca="1">IFERROR(__xludf.DUMMYFUNCTION("""COMPUTED_VALUE"""),"Children")</f>
        <v>Children</v>
      </c>
      <c r="G785" s="12"/>
      <c r="H785" s="12"/>
      <c r="I785" s="12"/>
      <c r="J785" s="12"/>
      <c r="K785" s="13">
        <f ca="1">IFERROR(__xludf.DUMMYFUNCTION("""COMPUTED_VALUE"""),41804)</f>
        <v>41804</v>
      </c>
      <c r="L785" s="12"/>
      <c r="M785" s="12"/>
      <c r="N785" s="12" t="str">
        <f ca="1">IFERROR(__xludf.DUMMYFUNCTION("""COMPUTED_VALUE"""),"Table1")</f>
        <v>Table1</v>
      </c>
    </row>
    <row r="786" spans="1:14" ht="15.75" customHeight="1" x14ac:dyDescent="0.35">
      <c r="A786" s="12" t="str">
        <f ca="1">IFERROR(__xludf.DUMMYFUNCTION("""COMPUTED_VALUE"""),"White, Paul")</f>
        <v>White, Paul</v>
      </c>
      <c r="B786" s="12" t="str">
        <f ca="1">IFERROR(__xludf.DUMMYFUNCTION("""COMPUTED_VALUE""")," Paul White")</f>
        <v xml:space="preserve"> Paul White</v>
      </c>
      <c r="C786" s="12" t="str">
        <f ca="1">IFERROR(__xludf.DUMMYFUNCTION("""COMPUTED_VALUE"""),"Jungle Doctor's Africa")</f>
        <v>Jungle Doctor's Africa</v>
      </c>
      <c r="D786" s="12" t="str">
        <f ca="1">IFERROR(__xludf.DUMMYFUNCTION("""COMPUTED_VALUE"""),"Jungle Doctor")</f>
        <v>Jungle Doctor</v>
      </c>
      <c r="E786" s="12" t="str">
        <f ca="1">IFERROR(__xludf.DUMMYFUNCTION("""COMPUTED_VALUE"""),"Book")</f>
        <v>Book</v>
      </c>
      <c r="F786" s="12" t="str">
        <f ca="1">IFERROR(__xludf.DUMMYFUNCTION("""COMPUTED_VALUE"""),"Children")</f>
        <v>Children</v>
      </c>
      <c r="G786" s="12"/>
      <c r="H786" s="12"/>
      <c r="I786" s="12"/>
      <c r="J786" s="12"/>
      <c r="K786" s="13">
        <f ca="1">IFERROR(__xludf.DUMMYFUNCTION("""COMPUTED_VALUE"""),42511)</f>
        <v>42511</v>
      </c>
      <c r="L786" s="12"/>
      <c r="M786" s="12"/>
      <c r="N786" s="12" t="str">
        <f ca="1">IFERROR(__xludf.DUMMYFUNCTION("""COMPUTED_VALUE"""),"Table1")</f>
        <v>Table1</v>
      </c>
    </row>
    <row r="787" spans="1:14" ht="15.75" customHeight="1" x14ac:dyDescent="0.35">
      <c r="A787" s="12" t="str">
        <f ca="1">IFERROR(__xludf.DUMMYFUNCTION("""COMPUTED_VALUE"""),"White, Paul")</f>
        <v>White, Paul</v>
      </c>
      <c r="B787" s="12" t="str">
        <f ca="1">IFERROR(__xludf.DUMMYFUNCTION("""COMPUTED_VALUE""")," Paul White")</f>
        <v xml:space="preserve"> Paul White</v>
      </c>
      <c r="C787" s="12" t="str">
        <f ca="1">IFERROR(__xludf.DUMMYFUNCTION("""COMPUTED_VALUE"""),"Jungle Doctor's Crooked Dealings")</f>
        <v>Jungle Doctor's Crooked Dealings</v>
      </c>
      <c r="D787" s="12" t="str">
        <f ca="1">IFERROR(__xludf.DUMMYFUNCTION("""COMPUTED_VALUE"""),"Jungle Doctor")</f>
        <v>Jungle Doctor</v>
      </c>
      <c r="E787" s="12" t="str">
        <f ca="1">IFERROR(__xludf.DUMMYFUNCTION("""COMPUTED_VALUE"""),"Book")</f>
        <v>Book</v>
      </c>
      <c r="F787" s="12" t="str">
        <f ca="1">IFERROR(__xludf.DUMMYFUNCTION("""COMPUTED_VALUE"""),"Children")</f>
        <v>Children</v>
      </c>
      <c r="G787" s="12"/>
      <c r="H787" s="12"/>
      <c r="I787" s="12"/>
      <c r="J787" s="12"/>
      <c r="K787" s="13">
        <f ca="1">IFERROR(__xludf.DUMMYFUNCTION("""COMPUTED_VALUE"""),41804)</f>
        <v>41804</v>
      </c>
      <c r="L787" s="12"/>
      <c r="M787" s="12"/>
      <c r="N787" s="12" t="str">
        <f ca="1">IFERROR(__xludf.DUMMYFUNCTION("""COMPUTED_VALUE"""),"Table1")</f>
        <v>Table1</v>
      </c>
    </row>
    <row r="788" spans="1:14" ht="15.75" customHeight="1" x14ac:dyDescent="0.35">
      <c r="A788" s="12" t="str">
        <f ca="1">IFERROR(__xludf.DUMMYFUNCTION("""COMPUTED_VALUE"""),"White, Paul")</f>
        <v>White, Paul</v>
      </c>
      <c r="B788" s="12" t="str">
        <f ca="1">IFERROR(__xludf.DUMMYFUNCTION("""COMPUTED_VALUE""")," Paul White")</f>
        <v xml:space="preserve"> Paul White</v>
      </c>
      <c r="C788" s="12" t="str">
        <f ca="1">IFERROR(__xludf.DUMMYFUNCTION("""COMPUTED_VALUE"""),"Jungle Doctor's Enemies")</f>
        <v>Jungle Doctor's Enemies</v>
      </c>
      <c r="D788" s="12" t="str">
        <f ca="1">IFERROR(__xludf.DUMMYFUNCTION("""COMPUTED_VALUE"""),"Jungle Doctor")</f>
        <v>Jungle Doctor</v>
      </c>
      <c r="E788" s="12" t="str">
        <f ca="1">IFERROR(__xludf.DUMMYFUNCTION("""COMPUTED_VALUE"""),"Book")</f>
        <v>Book</v>
      </c>
      <c r="F788" s="12" t="str">
        <f ca="1">IFERROR(__xludf.DUMMYFUNCTION("""COMPUTED_VALUE"""),"Children")</f>
        <v>Children</v>
      </c>
      <c r="G788" s="12"/>
      <c r="H788" s="12"/>
      <c r="I788" s="12"/>
      <c r="J788" s="12"/>
      <c r="K788" s="13">
        <f ca="1">IFERROR(__xludf.DUMMYFUNCTION("""COMPUTED_VALUE"""),41804)</f>
        <v>41804</v>
      </c>
      <c r="L788" s="12"/>
      <c r="M788" s="12"/>
      <c r="N788" s="12" t="str">
        <f ca="1">IFERROR(__xludf.DUMMYFUNCTION("""COMPUTED_VALUE"""),"Table1")</f>
        <v>Table1</v>
      </c>
    </row>
    <row r="789" spans="1:14" ht="15.75" customHeight="1" x14ac:dyDescent="0.35">
      <c r="A789" s="12" t="str">
        <f ca="1">IFERROR(__xludf.DUMMYFUNCTION("""COMPUTED_VALUE"""),"Whitman, Lauren")</f>
        <v>Whitman, Lauren</v>
      </c>
      <c r="B789" s="12" t="str">
        <f ca="1">IFERROR(__xludf.DUMMYFUNCTION("""COMPUTED_VALUE""")," Lauren Whitman")</f>
        <v xml:space="preserve"> Lauren Whitman</v>
      </c>
      <c r="C789" s="12" t="str">
        <f ca="1">IFERROR(__xludf.DUMMYFUNCTION("""COMPUTED_VALUE"""),"A Painful Past: Healing and Moving Forward")</f>
        <v>A Painful Past: Healing and Moving Forward</v>
      </c>
      <c r="D789" s="12" t="str">
        <f ca="1">IFERROR(__xludf.DUMMYFUNCTION("""COMPUTED_VALUE"""),"31-Day Devotionals for Life")</f>
        <v>31-Day Devotionals for Life</v>
      </c>
      <c r="E789" s="12" t="str">
        <f ca="1">IFERROR(__xludf.DUMMYFUNCTION("""COMPUTED_VALUE"""),"Book")</f>
        <v>Book</v>
      </c>
      <c r="F789" s="12" t="str">
        <f ca="1">IFERROR(__xludf.DUMMYFUNCTION("""COMPUTED_VALUE"""),"Understanding Mankind")</f>
        <v>Understanding Mankind</v>
      </c>
      <c r="G789" s="12"/>
      <c r="H789" s="12" t="str">
        <f ca="1">IFERROR(__xludf.DUMMYFUNCTION("""COMPUTED_VALUE"""),"Devotionals")</f>
        <v>Devotionals</v>
      </c>
      <c r="I789" s="12"/>
      <c r="J789" s="12" t="str">
        <f ca="1">IFERROR(__xludf.DUMMYFUNCTION("""COMPUTED_VALUE"""),"Regret, Grief, Suffering")</f>
        <v>Regret, Grief, Suffering</v>
      </c>
      <c r="K789" s="13">
        <f ca="1">IFERROR(__xludf.DUMMYFUNCTION("""COMPUTED_VALUE"""),44178)</f>
        <v>44178</v>
      </c>
      <c r="L789" s="12"/>
      <c r="M789" s="12"/>
      <c r="N789" s="12" t="str">
        <f ca="1">IFERROR(__xludf.DUMMYFUNCTION("""COMPUTED_VALUE"""),"Table1")</f>
        <v>Table1</v>
      </c>
    </row>
    <row r="790" spans="1:14" ht="15.75" customHeight="1" x14ac:dyDescent="0.35">
      <c r="A790" s="12" t="str">
        <f ca="1">IFERROR(__xludf.DUMMYFUNCTION("""COMPUTED_VALUE"""),"Wilken, Jen")</f>
        <v>Wilken, Jen</v>
      </c>
      <c r="B790" s="12" t="str">
        <f ca="1">IFERROR(__xludf.DUMMYFUNCTION("""COMPUTED_VALUE""")," Jen Wilken")</f>
        <v xml:space="preserve"> Jen Wilken</v>
      </c>
      <c r="C790" s="12" t="str">
        <f ca="1">IFERROR(__xludf.DUMMYFUNCTION("""COMPUTED_VALUE"""),"In His Image: 10 Ways God Calls Us To Reflect His Character")</f>
        <v>In His Image: 10 Ways God Calls Us To Reflect His Character</v>
      </c>
      <c r="D790" s="12"/>
      <c r="E790" s="12" t="str">
        <f ca="1">IFERROR(__xludf.DUMMYFUNCTION("""COMPUTED_VALUE"""),"Book")</f>
        <v>Book</v>
      </c>
      <c r="F790" s="12" t="str">
        <f ca="1">IFERROR(__xludf.DUMMYFUNCTION("""COMPUTED_VALUE"""),"Discipleship")</f>
        <v>Discipleship</v>
      </c>
      <c r="G790" s="12"/>
      <c r="H790" s="12"/>
      <c r="I790" s="12"/>
      <c r="J790" s="12"/>
      <c r="K790" s="13"/>
      <c r="L790" s="12"/>
      <c r="M790" s="12"/>
      <c r="N790" s="12" t="str">
        <f ca="1">IFERROR(__xludf.DUMMYFUNCTION("""COMPUTED_VALUE"""),"Table1")</f>
        <v>Table1</v>
      </c>
    </row>
    <row r="791" spans="1:14" ht="15.75" customHeight="1" x14ac:dyDescent="0.35">
      <c r="A791" s="12" t="str">
        <f ca="1">IFERROR(__xludf.DUMMYFUNCTION("""COMPUTED_VALUE"""),"Wilken, Jen")</f>
        <v>Wilken, Jen</v>
      </c>
      <c r="B791" s="12" t="str">
        <f ca="1">IFERROR(__xludf.DUMMYFUNCTION("""COMPUTED_VALUE""")," Jen Wilken")</f>
        <v xml:space="preserve"> Jen Wilken</v>
      </c>
      <c r="C791" s="12" t="str">
        <f ca="1">IFERROR(__xludf.DUMMYFUNCTION("""COMPUTED_VALUE"""),"None Like Him")</f>
        <v>None Like Him</v>
      </c>
      <c r="D791" s="12"/>
      <c r="E791" s="12" t="str">
        <f ca="1">IFERROR(__xludf.DUMMYFUNCTION("""COMPUTED_VALUE"""),"Book")</f>
        <v>Book</v>
      </c>
      <c r="F791" s="12" t="str">
        <f ca="1">IFERROR(__xludf.DUMMYFUNCTION("""COMPUTED_VALUE"""),"Discipleship")</f>
        <v>Discipleship</v>
      </c>
      <c r="G791" s="12"/>
      <c r="H791" s="12"/>
      <c r="I791" s="12"/>
      <c r="J791" s="12"/>
      <c r="K791" s="13">
        <f ca="1">IFERROR(__xludf.DUMMYFUNCTION("""COMPUTED_VALUE"""),42856)</f>
        <v>42856</v>
      </c>
      <c r="L791" s="12"/>
      <c r="M791" s="12"/>
      <c r="N791" s="12" t="str">
        <f ca="1">IFERROR(__xludf.DUMMYFUNCTION("""COMPUTED_VALUE"""),"Table1")</f>
        <v>Table1</v>
      </c>
    </row>
    <row r="792" spans="1:14" ht="15.75" customHeight="1" x14ac:dyDescent="0.35">
      <c r="A792" s="12" t="str">
        <f ca="1">IFERROR(__xludf.DUMMYFUNCTION("""COMPUTED_VALUE"""),"Wilken, Robert Louis")</f>
        <v>Wilken, Robert Louis</v>
      </c>
      <c r="B792" s="12" t="str">
        <f ca="1">IFERROR(__xludf.DUMMYFUNCTION("""COMPUTED_VALUE""")," Robert Louis Wilken")</f>
        <v xml:space="preserve"> Robert Louis Wilken</v>
      </c>
      <c r="C792" s="12" t="str">
        <f ca="1">IFERROR(__xludf.DUMMYFUNCTION("""COMPUTED_VALUE"""),"The First Thousand Years")</f>
        <v>The First Thousand Years</v>
      </c>
      <c r="D792" s="12"/>
      <c r="E792" s="12" t="str">
        <f ca="1">IFERROR(__xludf.DUMMYFUNCTION("""COMPUTED_VALUE"""),"Book")</f>
        <v>Book</v>
      </c>
      <c r="F792" s="12" t="str">
        <f ca="1">IFERROR(__xludf.DUMMYFUNCTION("""COMPUTED_VALUE"""),"Church History")</f>
        <v>Church History</v>
      </c>
      <c r="G792" s="12"/>
      <c r="H792" s="12"/>
      <c r="I792" s="12"/>
      <c r="J792" s="12" t="str">
        <f ca="1">IFERROR(__xludf.DUMMYFUNCTION("""COMPUTED_VALUE"""),"History")</f>
        <v>History</v>
      </c>
      <c r="K792" s="13">
        <f ca="1">IFERROR(__xludf.DUMMYFUNCTION("""COMPUTED_VALUE"""),41530)</f>
        <v>41530</v>
      </c>
      <c r="L792" s="12"/>
      <c r="M792" s="12"/>
      <c r="N792" s="12" t="str">
        <f ca="1">IFERROR(__xludf.DUMMYFUNCTION("""COMPUTED_VALUE"""),"Table1")</f>
        <v>Table1</v>
      </c>
    </row>
    <row r="793" spans="1:14" ht="15.75" customHeight="1" x14ac:dyDescent="0.35">
      <c r="A793" s="12" t="str">
        <f ca="1">IFERROR(__xludf.DUMMYFUNCTION("""COMPUTED_VALUE"""),"Williams, Michael J.")</f>
        <v>Williams, Michael J.</v>
      </c>
      <c r="B793" s="12" t="str">
        <f ca="1">IFERROR(__xludf.DUMMYFUNCTION("""COMPUTED_VALUE""")," Michael J. Williams")</f>
        <v xml:space="preserve"> Michael J. Williams</v>
      </c>
      <c r="C793" s="12" t="str">
        <f ca="1">IFERROR(__xludf.DUMMYFUNCTION("""COMPUTED_VALUE"""),"The Prophet and His Message: Reading OT Prophecy Today")</f>
        <v>The Prophet and His Message: Reading OT Prophecy Today</v>
      </c>
      <c r="D793" s="12"/>
      <c r="E793" s="12" t="str">
        <f ca="1">IFERROR(__xludf.DUMMYFUNCTION("""COMPUTED_VALUE"""),"Book")</f>
        <v>Book</v>
      </c>
      <c r="F793" s="12" t="str">
        <f ca="1">IFERROR(__xludf.DUMMYFUNCTION("""COMPUTED_VALUE"""),"Bible")</f>
        <v>Bible</v>
      </c>
      <c r="G793" s="12"/>
      <c r="H793" s="12"/>
      <c r="I793" s="12"/>
      <c r="J793" s="12"/>
      <c r="K793" s="13">
        <f ca="1">IFERROR(__xludf.DUMMYFUNCTION("""COMPUTED_VALUE"""),43211)</f>
        <v>43211</v>
      </c>
      <c r="L793" s="12"/>
      <c r="M793" s="12"/>
      <c r="N793" s="12" t="str">
        <f ca="1">IFERROR(__xludf.DUMMYFUNCTION("""COMPUTED_VALUE"""),"Table1")</f>
        <v>Table1</v>
      </c>
    </row>
    <row r="794" spans="1:14" ht="15.75" customHeight="1" x14ac:dyDescent="0.35">
      <c r="A794" s="12" t="str">
        <f ca="1">IFERROR(__xludf.DUMMYFUNCTION("""COMPUTED_VALUE"""),"Williams, Thaddeus J.")</f>
        <v>Williams, Thaddeus J.</v>
      </c>
      <c r="B794" s="12" t="str">
        <f ca="1">IFERROR(__xludf.DUMMYFUNCTION("""COMPUTED_VALUE""")," Thaddeus J. Williams")</f>
        <v xml:space="preserve"> Thaddeus J. Williams</v>
      </c>
      <c r="C794" s="12" t="str">
        <f ca="1">IFERROR(__xludf.DUMMYFUNCTION("""COMPUTED_VALUE"""),"Confronting Injustice without Compromising Truth: 12 Questions Christians Should Ask about Social Justice")</f>
        <v>Confronting Injustice without Compromising Truth: 12 Questions Christians Should Ask about Social Justice</v>
      </c>
      <c r="D794" s="12"/>
      <c r="E794" s="12" t="str">
        <f ca="1">IFERROR(__xludf.DUMMYFUNCTION("""COMPUTED_VALUE"""),"Book")</f>
        <v>Book</v>
      </c>
      <c r="F794" s="12" t="str">
        <f ca="1">IFERROR(__xludf.DUMMYFUNCTION("""COMPUTED_VALUE"""),"Understanding Mankind")</f>
        <v>Understanding Mankind</v>
      </c>
      <c r="G794" s="12"/>
      <c r="H794" s="12"/>
      <c r="I794" s="12"/>
      <c r="J794" s="12" t="str">
        <f ca="1">IFERROR(__xludf.DUMMYFUNCTION("""COMPUTED_VALUE"""),"Social Justice")</f>
        <v>Social Justice</v>
      </c>
      <c r="K794" s="13">
        <f ca="1">IFERROR(__xludf.DUMMYFUNCTION("""COMPUTED_VALUE"""),44423)</f>
        <v>44423</v>
      </c>
      <c r="L794" s="12"/>
      <c r="M794" s="12"/>
      <c r="N794" s="12" t="str">
        <f ca="1">IFERROR(__xludf.DUMMYFUNCTION("""COMPUTED_VALUE"""),"Table1")</f>
        <v>Table1</v>
      </c>
    </row>
    <row r="795" spans="1:14" ht="15.75" customHeight="1" x14ac:dyDescent="0.35">
      <c r="A795" s="12" t="str">
        <f ca="1">IFERROR(__xludf.DUMMYFUNCTION("""COMPUTED_VALUE"""),"Williamson, Denise")</f>
        <v>Williamson, Denise</v>
      </c>
      <c r="B795" s="12" t="str">
        <f ca="1">IFERROR(__xludf.DUMMYFUNCTION("""COMPUTED_VALUE""")," Denise Williamson")</f>
        <v xml:space="preserve"> Denise Williamson</v>
      </c>
      <c r="C795" s="12" t="str">
        <f ca="1">IFERROR(__xludf.DUMMYFUNCTION("""COMPUTED_VALUE"""),"Silent Road to Rescue")</f>
        <v>Silent Road to Rescue</v>
      </c>
      <c r="D795" s="12"/>
      <c r="E795" s="12" t="str">
        <f ca="1">IFERROR(__xludf.DUMMYFUNCTION("""COMPUTED_VALUE"""),"Book")</f>
        <v>Book</v>
      </c>
      <c r="F795" s="12" t="str">
        <f ca="1">IFERROR(__xludf.DUMMYFUNCTION("""COMPUTED_VALUE"""),"Children")</f>
        <v>Children</v>
      </c>
      <c r="G795" s="12"/>
      <c r="H795" s="12"/>
      <c r="I795" s="12"/>
      <c r="J795" s="12"/>
      <c r="K795" s="13">
        <f ca="1">IFERROR(__xludf.DUMMYFUNCTION("""COMPUTED_VALUE"""),41529)</f>
        <v>41529</v>
      </c>
      <c r="L795" s="12"/>
      <c r="M795" s="12"/>
      <c r="N795" s="12" t="str">
        <f ca="1">IFERROR(__xludf.DUMMYFUNCTION("""COMPUTED_VALUE"""),"Table1")</f>
        <v>Table1</v>
      </c>
    </row>
    <row r="796" spans="1:14" ht="15.75" customHeight="1" x14ac:dyDescent="0.35">
      <c r="A796" s="12" t="str">
        <f ca="1">IFERROR(__xludf.DUMMYFUNCTION("""COMPUTED_VALUE"""),"Withrow, Brandon G")</f>
        <v>Withrow, Brandon G</v>
      </c>
      <c r="B796" s="12" t="str">
        <f ca="1">IFERROR(__xludf.DUMMYFUNCTION("""COMPUTED_VALUE""")," Brandon G Withrow")</f>
        <v xml:space="preserve"> Brandon G Withrow</v>
      </c>
      <c r="C796" s="12" t="str">
        <f ca="1">IFERROR(__xludf.DUMMYFUNCTION("""COMPUTED_VALUE"""),"Katherine Parr")</f>
        <v>Katherine Parr</v>
      </c>
      <c r="D796" s="12"/>
      <c r="E796" s="12" t="str">
        <f ca="1">IFERROR(__xludf.DUMMYFUNCTION("""COMPUTED_VALUE"""),"Book")</f>
        <v>Book</v>
      </c>
      <c r="F796" s="12" t="str">
        <f ca="1">IFERROR(__xludf.DUMMYFUNCTION("""COMPUTED_VALUE"""),"Children")</f>
        <v>Children</v>
      </c>
      <c r="G796" s="12"/>
      <c r="H796" s="12"/>
      <c r="I796" s="12"/>
      <c r="J796" s="12"/>
      <c r="K796" s="13">
        <f ca="1">IFERROR(__xludf.DUMMYFUNCTION("""COMPUTED_VALUE"""),41773)</f>
        <v>41773</v>
      </c>
      <c r="L796" s="12"/>
      <c r="M796" s="12"/>
      <c r="N796" s="12" t="str">
        <f ca="1">IFERROR(__xludf.DUMMYFUNCTION("""COMPUTED_VALUE"""),"Table1")</f>
        <v>Table1</v>
      </c>
    </row>
    <row r="797" spans="1:14" ht="15.75" customHeight="1" x14ac:dyDescent="0.35">
      <c r="A797" s="12" t="str">
        <f ca="1">IFERROR(__xludf.DUMMYFUNCTION("""COMPUTED_VALUE"""),"Withrow, Mindy and Brandon")</f>
        <v>Withrow, Mindy and Brandon</v>
      </c>
      <c r="B797" s="12" t="str">
        <f ca="1">IFERROR(__xludf.DUMMYFUNCTION("""COMPUTED_VALUE"""),"#N/A")</f>
        <v>#N/A</v>
      </c>
      <c r="C797" s="12" t="str">
        <f ca="1">IFERROR(__xludf.DUMMYFUNCTION("""COMPUTED_VALUE"""),"Courage and Conviction (Volume 3)")</f>
        <v>Courage and Conviction (Volume 3)</v>
      </c>
      <c r="D797" s="12" t="str">
        <f ca="1">IFERROR(__xludf.DUMMYFUNCTION("""COMPUTED_VALUE"""),"History Lives")</f>
        <v>History Lives</v>
      </c>
      <c r="E797" s="12" t="str">
        <f ca="1">IFERROR(__xludf.DUMMYFUNCTION("""COMPUTED_VALUE"""),"Book")</f>
        <v>Book</v>
      </c>
      <c r="F797" s="12" t="str">
        <f ca="1">IFERROR(__xludf.DUMMYFUNCTION("""COMPUTED_VALUE"""),"Children")</f>
        <v>Children</v>
      </c>
      <c r="G797" s="12"/>
      <c r="H797" s="12"/>
      <c r="I797" s="12"/>
      <c r="J797" s="12"/>
      <c r="K797" s="13">
        <f ca="1">IFERROR(__xludf.DUMMYFUNCTION("""COMPUTED_VALUE"""),41804)</f>
        <v>41804</v>
      </c>
      <c r="L797" s="12"/>
      <c r="M797" s="12"/>
      <c r="N797" s="12" t="str">
        <f ca="1">IFERROR(__xludf.DUMMYFUNCTION("""COMPUTED_VALUE"""),"Table1")</f>
        <v>Table1</v>
      </c>
    </row>
    <row r="798" spans="1:14" ht="15.75" customHeight="1" x14ac:dyDescent="0.35">
      <c r="A798" s="12" t="str">
        <f ca="1">IFERROR(__xludf.DUMMYFUNCTION("""COMPUTED_VALUE"""),"Withrow, Mindy and Brandon")</f>
        <v>Withrow, Mindy and Brandon</v>
      </c>
      <c r="B798" s="12" t="str">
        <f ca="1">IFERROR(__xludf.DUMMYFUNCTION("""COMPUTED_VALUE"""),"#N/A")</f>
        <v>#N/A</v>
      </c>
      <c r="C798" s="12" t="str">
        <f ca="1">IFERROR(__xludf.DUMMYFUNCTION("""COMPUTED_VALUE"""),"Hearts and Hands (Volume 4)")</f>
        <v>Hearts and Hands (Volume 4)</v>
      </c>
      <c r="D798" s="12" t="str">
        <f ca="1">IFERROR(__xludf.DUMMYFUNCTION("""COMPUTED_VALUE"""),"History Lives")</f>
        <v>History Lives</v>
      </c>
      <c r="E798" s="12" t="str">
        <f ca="1">IFERROR(__xludf.DUMMYFUNCTION("""COMPUTED_VALUE"""),"Book")</f>
        <v>Book</v>
      </c>
      <c r="F798" s="12" t="str">
        <f ca="1">IFERROR(__xludf.DUMMYFUNCTION("""COMPUTED_VALUE"""),"Children")</f>
        <v>Children</v>
      </c>
      <c r="G798" s="12"/>
      <c r="H798" s="12"/>
      <c r="I798" s="12"/>
      <c r="J798" s="12"/>
      <c r="K798" s="13">
        <f ca="1">IFERROR(__xludf.DUMMYFUNCTION("""COMPUTED_VALUE"""),41805)</f>
        <v>41805</v>
      </c>
      <c r="L798" s="12"/>
      <c r="M798" s="12"/>
      <c r="N798" s="12" t="str">
        <f ca="1">IFERROR(__xludf.DUMMYFUNCTION("""COMPUTED_VALUE"""),"Table1")</f>
        <v>Table1</v>
      </c>
    </row>
    <row r="799" spans="1:14" ht="15.75" customHeight="1" x14ac:dyDescent="0.35">
      <c r="A799" s="12" t="str">
        <f ca="1">IFERROR(__xludf.DUMMYFUNCTION("""COMPUTED_VALUE"""),"Withrow, Mindy and Brandon")</f>
        <v>Withrow, Mindy and Brandon</v>
      </c>
      <c r="B799" s="12" t="str">
        <f ca="1">IFERROR(__xludf.DUMMYFUNCTION("""COMPUTED_VALUE"""),"#N/A")</f>
        <v>#N/A</v>
      </c>
      <c r="C799" s="12" t="str">
        <f ca="1">IFERROR(__xludf.DUMMYFUNCTION("""COMPUTED_VALUE"""),"Monks and Mystics (Volume 2)")</f>
        <v>Monks and Mystics (Volume 2)</v>
      </c>
      <c r="D799" s="12" t="str">
        <f ca="1">IFERROR(__xludf.DUMMYFUNCTION("""COMPUTED_VALUE"""),"History Lives")</f>
        <v>History Lives</v>
      </c>
      <c r="E799" s="12" t="str">
        <f ca="1">IFERROR(__xludf.DUMMYFUNCTION("""COMPUTED_VALUE"""),"Book")</f>
        <v>Book</v>
      </c>
      <c r="F799" s="12" t="str">
        <f ca="1">IFERROR(__xludf.DUMMYFUNCTION("""COMPUTED_VALUE"""),"Children")</f>
        <v>Children</v>
      </c>
      <c r="G799" s="12"/>
      <c r="H799" s="12"/>
      <c r="I799" s="12"/>
      <c r="J799" s="12"/>
      <c r="K799" s="13">
        <f ca="1">IFERROR(__xludf.DUMMYFUNCTION("""COMPUTED_VALUE"""),41806)</f>
        <v>41806</v>
      </c>
      <c r="L799" s="12"/>
      <c r="M799" s="12"/>
      <c r="N799" s="12" t="str">
        <f ca="1">IFERROR(__xludf.DUMMYFUNCTION("""COMPUTED_VALUE"""),"Table1")</f>
        <v>Table1</v>
      </c>
    </row>
    <row r="800" spans="1:14" ht="15.75" customHeight="1" x14ac:dyDescent="0.35">
      <c r="A800" s="12" t="str">
        <f ca="1">IFERROR(__xludf.DUMMYFUNCTION("""COMPUTED_VALUE"""),"Withrow, Mindy and Brandon")</f>
        <v>Withrow, Mindy and Brandon</v>
      </c>
      <c r="B800" s="12" t="str">
        <f ca="1">IFERROR(__xludf.DUMMYFUNCTION("""COMPUTED_VALUE"""),"#N/A")</f>
        <v>#N/A</v>
      </c>
      <c r="C800" s="12" t="str">
        <f ca="1">IFERROR(__xludf.DUMMYFUNCTION("""COMPUTED_VALUE"""),"Peril and Peace (Volume 1)")</f>
        <v>Peril and Peace (Volume 1)</v>
      </c>
      <c r="D800" s="12" t="str">
        <f ca="1">IFERROR(__xludf.DUMMYFUNCTION("""COMPUTED_VALUE"""),"History Lives")</f>
        <v>History Lives</v>
      </c>
      <c r="E800" s="12" t="str">
        <f ca="1">IFERROR(__xludf.DUMMYFUNCTION("""COMPUTED_VALUE"""),"Book")</f>
        <v>Book</v>
      </c>
      <c r="F800" s="12" t="str">
        <f ca="1">IFERROR(__xludf.DUMMYFUNCTION("""COMPUTED_VALUE"""),"Children")</f>
        <v>Children</v>
      </c>
      <c r="G800" s="12"/>
      <c r="H800" s="12"/>
      <c r="I800" s="12"/>
      <c r="J800" s="12"/>
      <c r="K800" s="13">
        <f ca="1">IFERROR(__xludf.DUMMYFUNCTION("""COMPUTED_VALUE"""),41807)</f>
        <v>41807</v>
      </c>
      <c r="L800" s="12"/>
      <c r="M800" s="12"/>
      <c r="N800" s="12" t="str">
        <f ca="1">IFERROR(__xludf.DUMMYFUNCTION("""COMPUTED_VALUE"""),"Table1")</f>
        <v>Table1</v>
      </c>
    </row>
    <row r="801" spans="1:14" ht="15.75" customHeight="1" x14ac:dyDescent="0.35">
      <c r="A801" s="12" t="str">
        <f ca="1">IFERROR(__xludf.DUMMYFUNCTION("""COMPUTED_VALUE"""),"Withrow, Mindy and Brandon")</f>
        <v>Withrow, Mindy and Brandon</v>
      </c>
      <c r="B801" s="12" t="str">
        <f ca="1">IFERROR(__xludf.DUMMYFUNCTION("""COMPUTED_VALUE"""),"#N/A")</f>
        <v>#N/A</v>
      </c>
      <c r="C801" s="12" t="str">
        <f ca="1">IFERROR(__xludf.DUMMYFUNCTION("""COMPUTED_VALUE"""),"Rescue and Redeem (Volume 5)")</f>
        <v>Rescue and Redeem (Volume 5)</v>
      </c>
      <c r="D801" s="12" t="str">
        <f ca="1">IFERROR(__xludf.DUMMYFUNCTION("""COMPUTED_VALUE"""),"History Lives")</f>
        <v>History Lives</v>
      </c>
      <c r="E801" s="12" t="str">
        <f ca="1">IFERROR(__xludf.DUMMYFUNCTION("""COMPUTED_VALUE"""),"Book")</f>
        <v>Book</v>
      </c>
      <c r="F801" s="12" t="str">
        <f ca="1">IFERROR(__xludf.DUMMYFUNCTION("""COMPUTED_VALUE"""),"Children")</f>
        <v>Children</v>
      </c>
      <c r="G801" s="12"/>
      <c r="H801" s="12"/>
      <c r="I801" s="12"/>
      <c r="J801" s="12"/>
      <c r="K801" s="13">
        <f ca="1">IFERROR(__xludf.DUMMYFUNCTION("""COMPUTED_VALUE"""),41804)</f>
        <v>41804</v>
      </c>
      <c r="L801" s="12"/>
      <c r="M801" s="12"/>
      <c r="N801" s="12" t="str">
        <f ca="1">IFERROR(__xludf.DUMMYFUNCTION("""COMPUTED_VALUE"""),"Table1")</f>
        <v>Table1</v>
      </c>
    </row>
    <row r="802" spans="1:14" ht="15.75" customHeight="1" x14ac:dyDescent="0.35">
      <c r="A802" s="12" t="str">
        <f ca="1">IFERROR(__xludf.DUMMYFUNCTION("""COMPUTED_VALUE"""),"Witmer, Timothy Z")</f>
        <v>Witmer, Timothy Z</v>
      </c>
      <c r="B802" s="12" t="str">
        <f ca="1">IFERROR(__xludf.DUMMYFUNCTION("""COMPUTED_VALUE""")," Timothy Z Witmer")</f>
        <v xml:space="preserve"> Timothy Z Witmer</v>
      </c>
      <c r="C802" s="12" t="str">
        <f ca="1">IFERROR(__xludf.DUMMYFUNCTION("""COMPUTED_VALUE"""),"The Shepherd Leader at Home")</f>
        <v>The Shepherd Leader at Home</v>
      </c>
      <c r="D802" s="12"/>
      <c r="E802" s="12" t="str">
        <f ca="1">IFERROR(__xludf.DUMMYFUNCTION("""COMPUTED_VALUE"""),"Book")</f>
        <v>Book</v>
      </c>
      <c r="F802" s="12" t="str">
        <f ca="1">IFERROR(__xludf.DUMMYFUNCTION("""COMPUTED_VALUE"""),"Discipleship")</f>
        <v>Discipleship</v>
      </c>
      <c r="G802" s="12"/>
      <c r="H802" s="12"/>
      <c r="I802" s="12"/>
      <c r="J802" s="12" t="str">
        <f ca="1">IFERROR(__xludf.DUMMYFUNCTION("""COMPUTED_VALUE"""),"Christian Men")</f>
        <v>Christian Men</v>
      </c>
      <c r="K802" s="13">
        <f ca="1">IFERROR(__xludf.DUMMYFUNCTION("""COMPUTED_VALUE"""),41287)</f>
        <v>41287</v>
      </c>
      <c r="L802" s="12" t="str">
        <f ca="1">IFERROR(__xludf.DUMMYFUNCTION("""COMPUTED_VALUE"""),"Missing as of February 2020")</f>
        <v>Missing as of February 2020</v>
      </c>
      <c r="M802" s="12"/>
      <c r="N802" s="12" t="str">
        <f ca="1">IFERROR(__xludf.DUMMYFUNCTION("""COMPUTED_VALUE"""),"Table1")</f>
        <v>Table1</v>
      </c>
    </row>
    <row r="803" spans="1:14" ht="15.75" customHeight="1" x14ac:dyDescent="0.35">
      <c r="A803" s="12" t="str">
        <f ca="1">IFERROR(__xludf.DUMMYFUNCTION("""COMPUTED_VALUE"""),"Witmer, Timothy Z")</f>
        <v>Witmer, Timothy Z</v>
      </c>
      <c r="B803" s="12" t="str">
        <f ca="1">IFERROR(__xludf.DUMMYFUNCTION("""COMPUTED_VALUE""")," Timothy Z Witmer")</f>
        <v xml:space="preserve"> Timothy Z Witmer</v>
      </c>
      <c r="C803" s="12" t="str">
        <f ca="1">IFERROR(__xludf.DUMMYFUNCTION("""COMPUTED_VALUE"""),"The Shepherd Leader")</f>
        <v>The Shepherd Leader</v>
      </c>
      <c r="D803" s="12"/>
      <c r="E803" s="12" t="str">
        <f ca="1">IFERROR(__xludf.DUMMYFUNCTION("""COMPUTED_VALUE"""),"Book")</f>
        <v>Book</v>
      </c>
      <c r="F803" s="12" t="str">
        <f ca="1">IFERROR(__xludf.DUMMYFUNCTION("""COMPUTED_VALUE"""),"Church")</f>
        <v>Church</v>
      </c>
      <c r="G803" s="12"/>
      <c r="H803" s="12"/>
      <c r="I803" s="12"/>
      <c r="J803" s="12" t="str">
        <f ca="1">IFERROR(__xludf.DUMMYFUNCTION("""COMPUTED_VALUE"""),"Church Leaders")</f>
        <v>Church Leaders</v>
      </c>
      <c r="K803" s="13">
        <f ca="1">IFERROR(__xludf.DUMMYFUNCTION("""COMPUTED_VALUE"""),42966)</f>
        <v>42966</v>
      </c>
      <c r="L803" s="12"/>
      <c r="M803" s="12"/>
      <c r="N803" s="12" t="str">
        <f ca="1">IFERROR(__xludf.DUMMYFUNCTION("""COMPUTED_VALUE"""),"Table1")</f>
        <v>Table1</v>
      </c>
    </row>
    <row r="804" spans="1:14" ht="15.75" customHeight="1" x14ac:dyDescent="0.35">
      <c r="A804" s="12" t="str">
        <f ca="1">IFERROR(__xludf.DUMMYFUNCTION("""COMPUTED_VALUE"""),"Witt, Rush")</f>
        <v>Witt, Rush</v>
      </c>
      <c r="B804" s="12" t="str">
        <f ca="1">IFERROR(__xludf.DUMMYFUNCTION("""COMPUTED_VALUE""")," Rush Witt")</f>
        <v xml:space="preserve"> Rush Witt</v>
      </c>
      <c r="C804" s="12" t="str">
        <f ca="1">IFERROR(__xludf.DUMMYFUNCTION("""COMPUTED_VALUE"""),"Diehard Sins: How to Fight Wisely against Destructive Habits")</f>
        <v>Diehard Sins: How to Fight Wisely against Destructive Habits</v>
      </c>
      <c r="D804" s="12"/>
      <c r="E804" s="12" t="str">
        <f ca="1">IFERROR(__xludf.DUMMYFUNCTION("""COMPUTED_VALUE"""),"Book")</f>
        <v>Book</v>
      </c>
      <c r="F804" s="12" t="str">
        <f ca="1">IFERROR(__xludf.DUMMYFUNCTION("""COMPUTED_VALUE"""),"Discipleship")</f>
        <v>Discipleship</v>
      </c>
      <c r="G804" s="12"/>
      <c r="H804" s="12"/>
      <c r="I804" s="12"/>
      <c r="J804" s="12" t="str">
        <f ca="1">IFERROR(__xludf.DUMMYFUNCTION("""COMPUTED_VALUE"""),"Sin")</f>
        <v>Sin</v>
      </c>
      <c r="K804" s="13">
        <f ca="1">IFERROR(__xludf.DUMMYFUNCTION("""COMPUTED_VALUE"""),43988)</f>
        <v>43988</v>
      </c>
      <c r="L804" s="12"/>
      <c r="M804" s="12"/>
      <c r="N804" s="12" t="str">
        <f ca="1">IFERROR(__xludf.DUMMYFUNCTION("""COMPUTED_VALUE"""),"Table1")</f>
        <v>Table1</v>
      </c>
    </row>
    <row r="805" spans="1:14" ht="15.75" customHeight="1" x14ac:dyDescent="0.35">
      <c r="A805" s="12" t="str">
        <f ca="1">IFERROR(__xludf.DUMMYFUNCTION("""COMPUTED_VALUE"""),"Wolterstorff, Nicholas")</f>
        <v>Wolterstorff, Nicholas</v>
      </c>
      <c r="B805" s="12" t="str">
        <f ca="1">IFERROR(__xludf.DUMMYFUNCTION("""COMPUTED_VALUE""")," Nicholas Wolterstorff")</f>
        <v xml:space="preserve"> Nicholas Wolterstorff</v>
      </c>
      <c r="C805" s="12" t="str">
        <f ca="1">IFERROR(__xludf.DUMMYFUNCTION("""COMPUTED_VALUE"""),"Lament for a Son")</f>
        <v>Lament for a Son</v>
      </c>
      <c r="D805" s="12"/>
      <c r="E805" s="12" t="str">
        <f ca="1">IFERROR(__xludf.DUMMYFUNCTION("""COMPUTED_VALUE"""),"Book")</f>
        <v>Book</v>
      </c>
      <c r="F805" s="12" t="str">
        <f ca="1">IFERROR(__xludf.DUMMYFUNCTION("""COMPUTED_VALUE"""),"Understanding Mankind")</f>
        <v>Understanding Mankind</v>
      </c>
      <c r="G805" s="12"/>
      <c r="H805" s="12"/>
      <c r="I805" s="12"/>
      <c r="J805" s="12" t="str">
        <f ca="1">IFERROR(__xludf.DUMMYFUNCTION("""COMPUTED_VALUE"""),"Suffering, Grief")</f>
        <v>Suffering, Grief</v>
      </c>
      <c r="K805" s="13">
        <f ca="1">IFERROR(__xludf.DUMMYFUNCTION("""COMPUTED_VALUE"""),40705)</f>
        <v>40705</v>
      </c>
      <c r="L805" s="12"/>
      <c r="M805" s="12"/>
      <c r="N805" s="12" t="str">
        <f ca="1">IFERROR(__xludf.DUMMYFUNCTION("""COMPUTED_VALUE"""),"Table1")</f>
        <v>Table1</v>
      </c>
    </row>
    <row r="806" spans="1:14" ht="15.75" customHeight="1" x14ac:dyDescent="0.35">
      <c r="A806" s="12" t="str">
        <f ca="1">IFERROR(__xludf.DUMMYFUNCTION("""COMPUTED_VALUE"""),"Wong, Kenman L")</f>
        <v>Wong, Kenman L</v>
      </c>
      <c r="B806" s="12" t="str">
        <f ca="1">IFERROR(__xludf.DUMMYFUNCTION("""COMPUTED_VALUE""")," Kenman L Wong")</f>
        <v xml:space="preserve"> Kenman L Wong</v>
      </c>
      <c r="C806" s="12" t="str">
        <f ca="1">IFERROR(__xludf.DUMMYFUNCTION("""COMPUTED_VALUE"""),"Business for the Common Good: A Christian Vision for the Marketplace")</f>
        <v>Business for the Common Good: A Christian Vision for the Marketplace</v>
      </c>
      <c r="D806" s="12" t="str">
        <f ca="1">IFERROR(__xludf.DUMMYFUNCTION("""COMPUTED_VALUE"""),"Rae")</f>
        <v>Rae</v>
      </c>
      <c r="E806" s="12" t="str">
        <f ca="1">IFERROR(__xludf.DUMMYFUNCTION("""COMPUTED_VALUE"""),"Book")</f>
        <v>Book</v>
      </c>
      <c r="F806" s="12" t="str">
        <f ca="1">IFERROR(__xludf.DUMMYFUNCTION("""COMPUTED_VALUE"""),"Worldview")</f>
        <v>Worldview</v>
      </c>
      <c r="G806" s="12"/>
      <c r="H806" s="12"/>
      <c r="I806" s="12"/>
      <c r="J806" s="12" t="str">
        <f ca="1">IFERROR(__xludf.DUMMYFUNCTION("""COMPUTED_VALUE"""),"Vocation")</f>
        <v>Vocation</v>
      </c>
      <c r="K806" s="13">
        <f ca="1">IFERROR(__xludf.DUMMYFUNCTION("""COMPUTED_VALUE"""),40827)</f>
        <v>40827</v>
      </c>
      <c r="L806" s="12"/>
      <c r="M806" s="12"/>
      <c r="N806" s="12" t="str">
        <f ca="1">IFERROR(__xludf.DUMMYFUNCTION("""COMPUTED_VALUE"""),"Table1")</f>
        <v>Table1</v>
      </c>
    </row>
    <row r="807" spans="1:14" ht="15.75" customHeight="1" x14ac:dyDescent="0.35">
      <c r="A807" s="12" t="str">
        <f ca="1">IFERROR(__xludf.DUMMYFUNCTION("""COMPUTED_VALUE"""),"Worcester, Mrs. J. H. Jr.")</f>
        <v>Worcester, Mrs. J. H. Jr.</v>
      </c>
      <c r="B807" s="12" t="str">
        <f ca="1">IFERROR(__xludf.DUMMYFUNCTION("""COMPUTED_VALUE""")," Mrs. J. H. Jr. Worcester")</f>
        <v xml:space="preserve"> Mrs. J. H. Jr. Worcester</v>
      </c>
      <c r="C807" s="12" t="str">
        <f ca="1">IFERROR(__xludf.DUMMYFUNCTION("""COMPUTED_VALUE"""),"David Livingstone: First to Cross Africa with the Gospel")</f>
        <v>David Livingstone: First to Cross Africa with the Gospel</v>
      </c>
      <c r="D807" s="12"/>
      <c r="E807" s="12" t="str">
        <f ca="1">IFERROR(__xludf.DUMMYFUNCTION("""COMPUTED_VALUE"""),"Book")</f>
        <v>Book</v>
      </c>
      <c r="F807" s="12" t="str">
        <f ca="1">IFERROR(__xludf.DUMMYFUNCTION("""COMPUTED_VALUE"""),"Biography")</f>
        <v>Biography</v>
      </c>
      <c r="G807" s="12"/>
      <c r="H807" s="12"/>
      <c r="I807" s="12"/>
      <c r="J807" s="12" t="str">
        <f ca="1">IFERROR(__xludf.DUMMYFUNCTION("""COMPUTED_VALUE"""),"Missions")</f>
        <v>Missions</v>
      </c>
      <c r="K807" s="13">
        <f ca="1">IFERROR(__xludf.DUMMYFUNCTION("""COMPUTED_VALUE"""),40049)</f>
        <v>40049</v>
      </c>
      <c r="L807" s="12"/>
      <c r="M807" s="12"/>
      <c r="N807" s="12" t="str">
        <f ca="1">IFERROR(__xludf.DUMMYFUNCTION("""COMPUTED_VALUE"""),"Table1")</f>
        <v>Table1</v>
      </c>
    </row>
    <row r="808" spans="1:14" ht="15.75" customHeight="1" x14ac:dyDescent="0.35">
      <c r="A808" s="12" t="str">
        <f ca="1">IFERROR(__xludf.DUMMYFUNCTION("""COMPUTED_VALUE"""),"Yarbrough, Robert W.")</f>
        <v>Yarbrough, Robert W.</v>
      </c>
      <c r="B808" s="12" t="str">
        <f ca="1">IFERROR(__xludf.DUMMYFUNCTION("""COMPUTED_VALUE""")," Robert W. Yarbrough")</f>
        <v xml:space="preserve"> Robert W. Yarbrough</v>
      </c>
      <c r="C808" s="12" t="str">
        <f ca="1">IFERROR(__xludf.DUMMYFUNCTION("""COMPUTED_VALUE"""),"The Letters to Timothy and Titus")</f>
        <v>The Letters to Timothy and Titus</v>
      </c>
      <c r="D808" s="12" t="str">
        <f ca="1">IFERROR(__xludf.DUMMYFUNCTION("""COMPUTED_VALUE"""),"The Pillar New Testament Commentary")</f>
        <v>The Pillar New Testament Commentary</v>
      </c>
      <c r="E808" s="12" t="str">
        <f ca="1">IFERROR(__xludf.DUMMYFUNCTION("""COMPUTED_VALUE"""),"Book")</f>
        <v>Book</v>
      </c>
      <c r="F808" s="12" t="str">
        <f ca="1">IFERROR(__xludf.DUMMYFUNCTION("""COMPUTED_VALUE"""),"Reference")</f>
        <v>Reference</v>
      </c>
      <c r="G808" s="12"/>
      <c r="H808" s="12"/>
      <c r="I808" s="12"/>
      <c r="J808" s="12" t="str">
        <f ca="1">IFERROR(__xludf.DUMMYFUNCTION("""COMPUTED_VALUE"""),"Commentary")</f>
        <v>Commentary</v>
      </c>
      <c r="K808" s="13">
        <f ca="1">IFERROR(__xludf.DUMMYFUNCTION("""COMPUTED_VALUE"""),44688)</f>
        <v>44688</v>
      </c>
      <c r="L808" s="12"/>
      <c r="M808" s="12"/>
      <c r="N808" s="12" t="str">
        <f ca="1">IFERROR(__xludf.DUMMYFUNCTION("""COMPUTED_VALUE"""),"Table1")</f>
        <v>Table1</v>
      </c>
    </row>
    <row r="809" spans="1:14" ht="15.75" customHeight="1" x14ac:dyDescent="0.35">
      <c r="A809" s="12" t="str">
        <f ca="1">IFERROR(__xludf.DUMMYFUNCTION("""COMPUTED_VALUE"""),"Yates, Elizabeth")</f>
        <v>Yates, Elizabeth</v>
      </c>
      <c r="B809" s="12" t="str">
        <f ca="1">IFERROR(__xludf.DUMMYFUNCTION("""COMPUTED_VALUE""")," Elizabeth Yates")</f>
        <v xml:space="preserve"> Elizabeth Yates</v>
      </c>
      <c r="C809" s="12" t="str">
        <f ca="1">IFERROR(__xludf.DUMMYFUNCTION("""COMPUTED_VALUE"""),"The Journeyman")</f>
        <v>The Journeyman</v>
      </c>
      <c r="D809" s="12"/>
      <c r="E809" s="12" t="str">
        <f ca="1">IFERROR(__xludf.DUMMYFUNCTION("""COMPUTED_VALUE"""),"Book")</f>
        <v>Book</v>
      </c>
      <c r="F809" s="12" t="str">
        <f ca="1">IFERROR(__xludf.DUMMYFUNCTION("""COMPUTED_VALUE"""),"Children")</f>
        <v>Children</v>
      </c>
      <c r="G809" s="12"/>
      <c r="H809" s="12"/>
      <c r="I809" s="12"/>
      <c r="J809" s="12"/>
      <c r="K809" s="13">
        <f ca="1">IFERROR(__xludf.DUMMYFUNCTION("""COMPUTED_VALUE"""),41287)</f>
        <v>41287</v>
      </c>
      <c r="L809" s="12"/>
      <c r="M809" s="12"/>
      <c r="N809" s="12" t="str">
        <f ca="1">IFERROR(__xludf.DUMMYFUNCTION("""COMPUTED_VALUE"""),"Table1")</f>
        <v>Table1</v>
      </c>
    </row>
    <row r="810" spans="1:14" ht="15.75" customHeight="1" x14ac:dyDescent="0.35">
      <c r="A810" s="12" t="str">
        <f ca="1">IFERROR(__xludf.DUMMYFUNCTION("""COMPUTED_VALUE"""),"Ytreeide, Arnold")</f>
        <v>Ytreeide, Arnold</v>
      </c>
      <c r="B810" s="12" t="str">
        <f ca="1">IFERROR(__xludf.DUMMYFUNCTION("""COMPUTED_VALUE""")," Arnold Ytreeide")</f>
        <v xml:space="preserve"> Arnold Ytreeide</v>
      </c>
      <c r="C810" s="12" t="str">
        <f ca="1">IFERROR(__xludf.DUMMYFUNCTION("""COMPUTED_VALUE"""),"Bartholomew's Passage: A Family Story for Advent")</f>
        <v>Bartholomew's Passage: A Family Story for Advent</v>
      </c>
      <c r="D810" s="12"/>
      <c r="E810" s="12" t="str">
        <f ca="1">IFERROR(__xludf.DUMMYFUNCTION("""COMPUTED_VALUE"""),"Book")</f>
        <v>Book</v>
      </c>
      <c r="F810" s="12" t="str">
        <f ca="1">IFERROR(__xludf.DUMMYFUNCTION("""COMPUTED_VALUE"""),"Children")</f>
        <v>Children</v>
      </c>
      <c r="G810" s="12"/>
      <c r="H810" s="12"/>
      <c r="I810" s="12"/>
      <c r="J810" s="12" t="str">
        <f ca="1">IFERROR(__xludf.DUMMYFUNCTION("""COMPUTED_VALUE"""),"Advent")</f>
        <v>Advent</v>
      </c>
      <c r="K810" s="13">
        <f ca="1">IFERROR(__xludf.DUMMYFUNCTION("""COMPUTED_VALUE"""),44240)</f>
        <v>44240</v>
      </c>
      <c r="L810" s="12"/>
      <c r="M810" s="12"/>
      <c r="N810" s="12" t="str">
        <f ca="1">IFERROR(__xludf.DUMMYFUNCTION("""COMPUTED_VALUE"""),"Table1")</f>
        <v>Table1</v>
      </c>
    </row>
    <row r="811" spans="1:14" ht="15.75" customHeight="1" x14ac:dyDescent="0.35">
      <c r="A811" s="12" t="str">
        <f ca="1">IFERROR(__xludf.DUMMYFUNCTION("""COMPUTED_VALUE"""),"Ytreeide, Arnold")</f>
        <v>Ytreeide, Arnold</v>
      </c>
      <c r="B811" s="12" t="str">
        <f ca="1">IFERROR(__xludf.DUMMYFUNCTION("""COMPUTED_VALUE""")," Arnold Ytreeide")</f>
        <v xml:space="preserve"> Arnold Ytreeide</v>
      </c>
      <c r="C811" s="12" t="str">
        <f ca="1">IFERROR(__xludf.DUMMYFUNCTION("""COMPUTED_VALUE"""),"Ishar's Odyssey: A Family Story for Advent")</f>
        <v>Ishar's Odyssey: A Family Story for Advent</v>
      </c>
      <c r="D811" s="12"/>
      <c r="E811" s="12" t="str">
        <f ca="1">IFERROR(__xludf.DUMMYFUNCTION("""COMPUTED_VALUE"""),"Book")</f>
        <v>Book</v>
      </c>
      <c r="F811" s="12" t="str">
        <f ca="1">IFERROR(__xludf.DUMMYFUNCTION("""COMPUTED_VALUE"""),"Children")</f>
        <v>Children</v>
      </c>
      <c r="G811" s="12"/>
      <c r="H811" s="12"/>
      <c r="I811" s="12"/>
      <c r="J811" s="12" t="str">
        <f ca="1">IFERROR(__xludf.DUMMYFUNCTION("""COMPUTED_VALUE"""),"Advent")</f>
        <v>Advent</v>
      </c>
      <c r="K811" s="13">
        <f ca="1">IFERROR(__xludf.DUMMYFUNCTION("""COMPUTED_VALUE"""),44240)</f>
        <v>44240</v>
      </c>
      <c r="L811" s="12"/>
      <c r="M811" s="12"/>
      <c r="N811" s="12" t="str">
        <f ca="1">IFERROR(__xludf.DUMMYFUNCTION("""COMPUTED_VALUE"""),"Table1")</f>
        <v>Table1</v>
      </c>
    </row>
    <row r="812" spans="1:14" ht="15.75" customHeight="1" x14ac:dyDescent="0.35">
      <c r="A812" s="12" t="str">
        <f ca="1">IFERROR(__xludf.DUMMYFUNCTION("""COMPUTED_VALUE"""),"Ytreeide, Arnold")</f>
        <v>Ytreeide, Arnold</v>
      </c>
      <c r="B812" s="12" t="str">
        <f ca="1">IFERROR(__xludf.DUMMYFUNCTION("""COMPUTED_VALUE""")," Arnold Ytreeide")</f>
        <v xml:space="preserve"> Arnold Ytreeide</v>
      </c>
      <c r="C812" s="12" t="str">
        <f ca="1">IFERROR(__xludf.DUMMYFUNCTION("""COMPUTED_VALUE"""),"Tabitha's Travels: A Family Story for Advent")</f>
        <v>Tabitha's Travels: A Family Story for Advent</v>
      </c>
      <c r="D812" s="12"/>
      <c r="E812" s="12" t="str">
        <f ca="1">IFERROR(__xludf.DUMMYFUNCTION("""COMPUTED_VALUE"""),"Book")</f>
        <v>Book</v>
      </c>
      <c r="F812" s="12" t="str">
        <f ca="1">IFERROR(__xludf.DUMMYFUNCTION("""COMPUTED_VALUE"""),"Children")</f>
        <v>Children</v>
      </c>
      <c r="G812" s="12"/>
      <c r="H812" s="12"/>
      <c r="I812" s="12"/>
      <c r="J812" s="12" t="str">
        <f ca="1">IFERROR(__xludf.DUMMYFUNCTION("""COMPUTED_VALUE"""),"Advent")</f>
        <v>Advent</v>
      </c>
      <c r="K812" s="13">
        <f ca="1">IFERROR(__xludf.DUMMYFUNCTION("""COMPUTED_VALUE"""),44240)</f>
        <v>44240</v>
      </c>
      <c r="L812" s="12"/>
      <c r="M812" s="12"/>
      <c r="N812" s="12" t="str">
        <f ca="1">IFERROR(__xludf.DUMMYFUNCTION("""COMPUTED_VALUE"""),"Table1")</f>
        <v>Table1</v>
      </c>
    </row>
    <row r="813" spans="1:14" ht="15.75" customHeight="1" x14ac:dyDescent="0.35">
      <c r="A813" s="12"/>
      <c r="B813" s="12"/>
      <c r="C813" s="12" t="str">
        <f ca="1">IFERROR(__xludf.DUMMYFUNCTION("""COMPUTED_VALUE"""),"The Adoniram and Ann Judson Story")</f>
        <v>The Adoniram and Ann Judson Story</v>
      </c>
      <c r="D813" s="12"/>
      <c r="E813" s="12" t="str">
        <f ca="1">IFERROR(__xludf.DUMMYFUNCTION("""COMPUTED_VALUE"""),"DVD")</f>
        <v>DVD</v>
      </c>
      <c r="F813" s="12" t="str">
        <f ca="1">IFERROR(__xludf.DUMMYFUNCTION("""COMPUTED_VALUE"""),"Kids")</f>
        <v>Kids</v>
      </c>
      <c r="G813" s="12"/>
      <c r="H813" s="12"/>
      <c r="I813" s="12"/>
      <c r="J813" s="12"/>
      <c r="K813" s="13">
        <f ca="1">IFERROR(__xludf.DUMMYFUNCTION("""COMPUTED_VALUE"""),43704)</f>
        <v>43704</v>
      </c>
      <c r="L813" s="12"/>
      <c r="M813" s="12" t="str">
        <f ca="1">IFERROR(__xludf.DUMMYFUNCTION("""COMPUTED_VALUE"""),"Torchlighters")</f>
        <v>Torchlighters</v>
      </c>
      <c r="N813" s="12" t="str">
        <f ca="1">IFERROR(__xludf.DUMMYFUNCTION("""COMPUTED_VALUE"""),"Table2")</f>
        <v>Table2</v>
      </c>
    </row>
    <row r="814" spans="1:14" ht="15.75" customHeight="1" x14ac:dyDescent="0.35">
      <c r="A814" s="12"/>
      <c r="B814" s="12"/>
      <c r="C814" s="12" t="str">
        <f ca="1">IFERROR(__xludf.DUMMYFUNCTION("""COMPUTED_VALUE"""),"The Amy Charmichael Story")</f>
        <v>The Amy Charmichael Story</v>
      </c>
      <c r="D814" s="12"/>
      <c r="E814" s="12" t="str">
        <f ca="1">IFERROR(__xludf.DUMMYFUNCTION("""COMPUTED_VALUE"""),"DVD")</f>
        <v>DVD</v>
      </c>
      <c r="F814" s="12" t="str">
        <f ca="1">IFERROR(__xludf.DUMMYFUNCTION("""COMPUTED_VALUE"""),"Kids")</f>
        <v>Kids</v>
      </c>
      <c r="G814" s="12"/>
      <c r="H814" s="12"/>
      <c r="I814" s="12"/>
      <c r="J814" s="12"/>
      <c r="K814" s="13">
        <f ca="1">IFERROR(__xludf.DUMMYFUNCTION("""COMPUTED_VALUE"""),40644)</f>
        <v>40644</v>
      </c>
      <c r="L814" s="12"/>
      <c r="M814" s="12" t="str">
        <f ca="1">IFERROR(__xludf.DUMMYFUNCTION("""COMPUTED_VALUE"""),"Torchlighters")</f>
        <v>Torchlighters</v>
      </c>
      <c r="N814" s="12" t="str">
        <f ca="1">IFERROR(__xludf.DUMMYFUNCTION("""COMPUTED_VALUE"""),"Table2")</f>
        <v>Table2</v>
      </c>
    </row>
    <row r="815" spans="1:14" ht="15.75" customHeight="1" x14ac:dyDescent="0.35">
      <c r="A815" s="12"/>
      <c r="B815" s="12"/>
      <c r="C815" s="12" t="str">
        <f ca="1">IFERROR(__xludf.DUMMYFUNCTION("""COMPUTED_VALUE"""),"The Augustine Story")</f>
        <v>The Augustine Story</v>
      </c>
      <c r="D815" s="12"/>
      <c r="E815" s="12" t="str">
        <f ca="1">IFERROR(__xludf.DUMMYFUNCTION("""COMPUTED_VALUE"""),"DVD")</f>
        <v>DVD</v>
      </c>
      <c r="F815" s="12" t="str">
        <f ca="1">IFERROR(__xludf.DUMMYFUNCTION("""COMPUTED_VALUE"""),"Kids")</f>
        <v>Kids</v>
      </c>
      <c r="G815" s="12"/>
      <c r="H815" s="12"/>
      <c r="I815" s="12"/>
      <c r="J815" s="12"/>
      <c r="K815" s="13">
        <f ca="1">IFERROR(__xludf.DUMMYFUNCTION("""COMPUTED_VALUE"""),41346)</f>
        <v>41346</v>
      </c>
      <c r="L815" s="12"/>
      <c r="M815" s="12" t="str">
        <f ca="1">IFERROR(__xludf.DUMMYFUNCTION("""COMPUTED_VALUE"""),"Torchlighters")</f>
        <v>Torchlighters</v>
      </c>
      <c r="N815" s="12" t="str">
        <f ca="1">IFERROR(__xludf.DUMMYFUNCTION("""COMPUTED_VALUE"""),"Table2")</f>
        <v>Table2</v>
      </c>
    </row>
    <row r="816" spans="1:14" ht="15.75" customHeight="1" x14ac:dyDescent="0.35">
      <c r="A816" s="12"/>
      <c r="B816" s="12"/>
      <c r="C816" s="12" t="str">
        <f ca="1">IFERROR(__xludf.DUMMYFUNCTION("""COMPUTED_VALUE"""),"The Corrie Ten Boom Story")</f>
        <v>The Corrie Ten Boom Story</v>
      </c>
      <c r="D816" s="12"/>
      <c r="E816" s="12" t="str">
        <f ca="1">IFERROR(__xludf.DUMMYFUNCTION("""COMPUTED_VALUE"""),"DVD")</f>
        <v>DVD</v>
      </c>
      <c r="F816" s="12" t="str">
        <f ca="1">IFERROR(__xludf.DUMMYFUNCTION("""COMPUTED_VALUE"""),"Kids")</f>
        <v>Kids</v>
      </c>
      <c r="G816" s="12"/>
      <c r="H816" s="12"/>
      <c r="I816" s="12"/>
      <c r="J816" s="12"/>
      <c r="K816" s="13">
        <f ca="1">IFERROR(__xludf.DUMMYFUNCTION("""COMPUTED_VALUE"""),42019)</f>
        <v>42019</v>
      </c>
      <c r="L816" s="12" t="str">
        <f ca="1">IFERROR(__xludf.DUMMYFUNCTION("""COMPUTED_VALUE"""),"Checked out on 3/22/19; follow up on whether this was returned")</f>
        <v>Checked out on 3/22/19; follow up on whether this was returned</v>
      </c>
      <c r="M816" s="12" t="str">
        <f ca="1">IFERROR(__xludf.DUMMYFUNCTION("""COMPUTED_VALUE"""),"Torchlighters")</f>
        <v>Torchlighters</v>
      </c>
      <c r="N816" s="12" t="str">
        <f ca="1">IFERROR(__xludf.DUMMYFUNCTION("""COMPUTED_VALUE"""),"Table2")</f>
        <v>Table2</v>
      </c>
    </row>
    <row r="817" spans="1:14" ht="15.75" customHeight="1" x14ac:dyDescent="0.35">
      <c r="A817" s="12"/>
      <c r="B817" s="12"/>
      <c r="C817" s="12" t="str">
        <f ca="1">IFERROR(__xludf.DUMMYFUNCTION("""COMPUTED_VALUE"""),"Dangerous Journey: A Victorious Journey of Faith and Pilgrimage")</f>
        <v>Dangerous Journey: A Victorious Journey of Faith and Pilgrimage</v>
      </c>
      <c r="D817" s="12"/>
      <c r="E817" s="12" t="str">
        <f ca="1">IFERROR(__xludf.DUMMYFUNCTION("""COMPUTED_VALUE"""),"DVD")</f>
        <v>DVD</v>
      </c>
      <c r="F817" s="12" t="str">
        <f ca="1">IFERROR(__xludf.DUMMYFUNCTION("""COMPUTED_VALUE"""),"Kids")</f>
        <v>Kids</v>
      </c>
      <c r="G817" s="12"/>
      <c r="H817" s="12"/>
      <c r="I817" s="12"/>
      <c r="J817" s="12"/>
      <c r="K817" s="13">
        <f ca="1">IFERROR(__xludf.DUMMYFUNCTION("""COMPUTED_VALUE"""),44578)</f>
        <v>44578</v>
      </c>
      <c r="L817" s="12"/>
      <c r="M817" s="12"/>
      <c r="N817" s="12" t="str">
        <f ca="1">IFERROR(__xludf.DUMMYFUNCTION("""COMPUTED_VALUE"""),"Table2")</f>
        <v>Table2</v>
      </c>
    </row>
    <row r="818" spans="1:14" ht="15.75" customHeight="1" x14ac:dyDescent="0.35">
      <c r="A818" s="12"/>
      <c r="B818" s="12"/>
      <c r="C818" s="12" t="str">
        <f ca="1">IFERROR(__xludf.DUMMYFUNCTION("""COMPUTED_VALUE"""),"Defense of New Haven")</f>
        <v>Defense of New Haven</v>
      </c>
      <c r="D818" s="12"/>
      <c r="E818" s="12" t="str">
        <f ca="1">IFERROR(__xludf.DUMMYFUNCTION("""COMPUTED_VALUE"""),"DVD")</f>
        <v>DVD</v>
      </c>
      <c r="F818" s="12" t="str">
        <f ca="1">IFERROR(__xludf.DUMMYFUNCTION("""COMPUTED_VALUE"""),"Kids")</f>
        <v>Kids</v>
      </c>
      <c r="G818" s="12"/>
      <c r="H818" s="12"/>
      <c r="I818" s="12"/>
      <c r="J818" s="12"/>
      <c r="K818" s="13">
        <f ca="1">IFERROR(__xludf.DUMMYFUNCTION("""COMPUTED_VALUE"""),43023)</f>
        <v>43023</v>
      </c>
      <c r="L818" s="12"/>
      <c r="M818" s="12"/>
      <c r="N818" s="12" t="str">
        <f ca="1">IFERROR(__xludf.DUMMYFUNCTION("""COMPUTED_VALUE"""),"Table2")</f>
        <v>Table2</v>
      </c>
    </row>
    <row r="819" spans="1:14" ht="15.75" customHeight="1" x14ac:dyDescent="0.35">
      <c r="A819" s="12"/>
      <c r="B819" s="12"/>
      <c r="C819" s="12" t="str">
        <f ca="1">IFERROR(__xludf.DUMMYFUNCTION("""COMPUTED_VALUE"""),"The Easter Promise/The Witness")</f>
        <v>The Easter Promise/The Witness</v>
      </c>
      <c r="D819" s="12"/>
      <c r="E819" s="12" t="str">
        <f ca="1">IFERROR(__xludf.DUMMYFUNCTION("""COMPUTED_VALUE"""),"DVD")</f>
        <v>DVD</v>
      </c>
      <c r="F819" s="12" t="str">
        <f ca="1">IFERROR(__xludf.DUMMYFUNCTION("""COMPUTED_VALUE"""),"Kids")</f>
        <v>Kids</v>
      </c>
      <c r="G819" s="12"/>
      <c r="H819" s="12"/>
      <c r="I819" s="12"/>
      <c r="J819" s="12"/>
      <c r="K819" s="13">
        <f ca="1">IFERROR(__xludf.DUMMYFUNCTION("""COMPUTED_VALUE"""),44578)</f>
        <v>44578</v>
      </c>
      <c r="L819" s="12"/>
      <c r="M819" s="12"/>
      <c r="N819" s="12" t="str">
        <f ca="1">IFERROR(__xludf.DUMMYFUNCTION("""COMPUTED_VALUE"""),"Table2")</f>
        <v>Table2</v>
      </c>
    </row>
    <row r="820" spans="1:14" ht="15.75" customHeight="1" x14ac:dyDescent="0.35">
      <c r="A820" s="12"/>
      <c r="B820" s="12"/>
      <c r="C820" s="12" t="str">
        <f ca="1">IFERROR(__xludf.DUMMYFUNCTION("""COMPUTED_VALUE"""),"The Eric Liddell Story")</f>
        <v>The Eric Liddell Story</v>
      </c>
      <c r="D820" s="12"/>
      <c r="E820" s="12" t="str">
        <f ca="1">IFERROR(__xludf.DUMMYFUNCTION("""COMPUTED_VALUE"""),"DVD")</f>
        <v>DVD</v>
      </c>
      <c r="F820" s="12" t="str">
        <f ca="1">IFERROR(__xludf.DUMMYFUNCTION("""COMPUTED_VALUE"""),"Kids")</f>
        <v>Kids</v>
      </c>
      <c r="G820" s="12"/>
      <c r="H820" s="12"/>
      <c r="I820" s="12"/>
      <c r="J820" s="12"/>
      <c r="K820" s="13">
        <f ca="1">IFERROR(__xludf.DUMMYFUNCTION("""COMPUTED_VALUE"""),40644)</f>
        <v>40644</v>
      </c>
      <c r="L820" s="12"/>
      <c r="M820" s="12" t="str">
        <f ca="1">IFERROR(__xludf.DUMMYFUNCTION("""COMPUTED_VALUE"""),"Torchlighters")</f>
        <v>Torchlighters</v>
      </c>
      <c r="N820" s="12" t="str">
        <f ca="1">IFERROR(__xludf.DUMMYFUNCTION("""COMPUTED_VALUE"""),"Table2")</f>
        <v>Table2</v>
      </c>
    </row>
    <row r="821" spans="1:14" ht="15.75" customHeight="1" x14ac:dyDescent="0.35">
      <c r="A821" s="12"/>
      <c r="B821" s="12"/>
      <c r="C821" s="12" t="str">
        <f ca="1">IFERROR(__xludf.DUMMYFUNCTION("""COMPUTED_VALUE"""),"The George Muller Story")</f>
        <v>The George Muller Story</v>
      </c>
      <c r="D821" s="12"/>
      <c r="E821" s="12" t="str">
        <f ca="1">IFERROR(__xludf.DUMMYFUNCTION("""COMPUTED_VALUE"""),"DVD")</f>
        <v>DVD</v>
      </c>
      <c r="F821" s="12" t="str">
        <f ca="1">IFERROR(__xludf.DUMMYFUNCTION("""COMPUTED_VALUE"""),"Kids")</f>
        <v>Kids</v>
      </c>
      <c r="G821" s="12"/>
      <c r="H821" s="12"/>
      <c r="I821" s="12"/>
      <c r="J821" s="12"/>
      <c r="K821" s="13">
        <f ca="1">IFERROR(__xludf.DUMMYFUNCTION("""COMPUTED_VALUE"""),44578)</f>
        <v>44578</v>
      </c>
      <c r="L821" s="12"/>
      <c r="M821" s="12" t="str">
        <f ca="1">IFERROR(__xludf.DUMMYFUNCTION("""COMPUTED_VALUE"""),"Torchlighters")</f>
        <v>Torchlighters</v>
      </c>
      <c r="N821" s="12" t="str">
        <f ca="1">IFERROR(__xludf.DUMMYFUNCTION("""COMPUTED_VALUE"""),"Table2")</f>
        <v>Table2</v>
      </c>
    </row>
    <row r="822" spans="1:14" ht="15.75" customHeight="1" x14ac:dyDescent="0.35">
      <c r="A822" s="12"/>
      <c r="B822" s="12"/>
      <c r="C822" s="12" t="str">
        <f ca="1">IFERROR(__xludf.DUMMYFUNCTION("""COMPUTED_VALUE"""),"The Gladys Aylward Story")</f>
        <v>The Gladys Aylward Story</v>
      </c>
      <c r="D822" s="12"/>
      <c r="E822" s="12" t="str">
        <f ca="1">IFERROR(__xludf.DUMMYFUNCTION("""COMPUTED_VALUE"""),"DVD")</f>
        <v>DVD</v>
      </c>
      <c r="F822" s="12" t="str">
        <f ca="1">IFERROR(__xludf.DUMMYFUNCTION("""COMPUTED_VALUE"""),"Kids")</f>
        <v>Kids</v>
      </c>
      <c r="G822" s="12"/>
      <c r="H822" s="12"/>
      <c r="I822" s="12"/>
      <c r="J822" s="12"/>
      <c r="K822" s="13">
        <f ca="1">IFERROR(__xludf.DUMMYFUNCTION("""COMPUTED_VALUE"""),40644)</f>
        <v>40644</v>
      </c>
      <c r="L822" s="12" t="str">
        <f ca="1">IFERROR(__xludf.DUMMYFUNCTION("""COMPUTED_VALUE"""),"Checked out on 5/9/18; follow up on whether this was returned")</f>
        <v>Checked out on 5/9/18; follow up on whether this was returned</v>
      </c>
      <c r="M822" s="12" t="str">
        <f ca="1">IFERROR(__xludf.DUMMYFUNCTION("""COMPUTED_VALUE"""),"Torchlighters")</f>
        <v>Torchlighters</v>
      </c>
      <c r="N822" s="12" t="str">
        <f ca="1">IFERROR(__xludf.DUMMYFUNCTION("""COMPUTED_VALUE"""),"Table2")</f>
        <v>Table2</v>
      </c>
    </row>
    <row r="823" spans="1:14" ht="15.75" customHeight="1" x14ac:dyDescent="0.35">
      <c r="A823" s="12"/>
      <c r="B823" s="12"/>
      <c r="C823" s="12" t="str">
        <f ca="1">IFERROR(__xludf.DUMMYFUNCTION("""COMPUTED_VALUE"""),"The Harriet Tubman Story")</f>
        <v>The Harriet Tubman Story</v>
      </c>
      <c r="D823" s="12"/>
      <c r="E823" s="12" t="str">
        <f ca="1">IFERROR(__xludf.DUMMYFUNCTION("""COMPUTED_VALUE"""),"DVD")</f>
        <v>DVD</v>
      </c>
      <c r="F823" s="12" t="str">
        <f ca="1">IFERROR(__xludf.DUMMYFUNCTION("""COMPUTED_VALUE"""),"Kids")</f>
        <v>Kids</v>
      </c>
      <c r="G823" s="12"/>
      <c r="H823" s="12"/>
      <c r="I823" s="12"/>
      <c r="J823" s="12"/>
      <c r="K823" s="13">
        <f ca="1">IFERROR(__xludf.DUMMYFUNCTION("""COMPUTED_VALUE"""),44578)</f>
        <v>44578</v>
      </c>
      <c r="L823" s="12"/>
      <c r="M823" s="12" t="str">
        <f ca="1">IFERROR(__xludf.DUMMYFUNCTION("""COMPUTED_VALUE"""),"Torchlighters")</f>
        <v>Torchlighters</v>
      </c>
      <c r="N823" s="12" t="str">
        <f ca="1">IFERROR(__xludf.DUMMYFUNCTION("""COMPUTED_VALUE"""),"Table2")</f>
        <v>Table2</v>
      </c>
    </row>
    <row r="824" spans="1:14" ht="15.75" customHeight="1" x14ac:dyDescent="0.35">
      <c r="A824" s="12"/>
      <c r="B824" s="12"/>
      <c r="C824" s="12" t="str">
        <f ca="1">IFERROR(__xludf.DUMMYFUNCTION("""COMPUTED_VALUE"""),"Jesus: He Lived Among Us")</f>
        <v>Jesus: He Lived Among Us</v>
      </c>
      <c r="D824" s="12"/>
      <c r="E824" s="12" t="str">
        <f ca="1">IFERROR(__xludf.DUMMYFUNCTION("""COMPUTED_VALUE"""),"DVD")</f>
        <v>DVD</v>
      </c>
      <c r="F824" s="12" t="str">
        <f ca="1">IFERROR(__xludf.DUMMYFUNCTION("""COMPUTED_VALUE"""),"Kids")</f>
        <v>Kids</v>
      </c>
      <c r="G824" s="12"/>
      <c r="H824" s="12"/>
      <c r="I824" s="12"/>
      <c r="J824" s="12"/>
      <c r="K824" s="13">
        <f ca="1">IFERROR(__xludf.DUMMYFUNCTION("""COMPUTED_VALUE"""),41346)</f>
        <v>41346</v>
      </c>
      <c r="L824" s="12"/>
      <c r="M824" s="12"/>
      <c r="N824" s="12" t="str">
        <f ca="1">IFERROR(__xludf.DUMMYFUNCTION("""COMPUTED_VALUE"""),"Table2")</f>
        <v>Table2</v>
      </c>
    </row>
    <row r="825" spans="1:14" ht="15.75" customHeight="1" x14ac:dyDescent="0.35">
      <c r="A825" s="12"/>
      <c r="B825" s="12"/>
      <c r="C825" s="12" t="str">
        <f ca="1">IFERROR(__xludf.DUMMYFUNCTION("""COMPUTED_VALUE"""),"The Jim Elliot Story")</f>
        <v>The Jim Elliot Story</v>
      </c>
      <c r="D825" s="12"/>
      <c r="E825" s="12" t="str">
        <f ca="1">IFERROR(__xludf.DUMMYFUNCTION("""COMPUTED_VALUE"""),"DVD")</f>
        <v>DVD</v>
      </c>
      <c r="F825" s="12" t="str">
        <f ca="1">IFERROR(__xludf.DUMMYFUNCTION("""COMPUTED_VALUE"""),"Kids")</f>
        <v>Kids</v>
      </c>
      <c r="G825" s="12"/>
      <c r="H825" s="12"/>
      <c r="I825" s="12"/>
      <c r="J825" s="12"/>
      <c r="K825" s="13">
        <f ca="1">IFERROR(__xludf.DUMMYFUNCTION("""COMPUTED_VALUE"""),40644)</f>
        <v>40644</v>
      </c>
      <c r="L825" s="12"/>
      <c r="M825" s="12" t="str">
        <f ca="1">IFERROR(__xludf.DUMMYFUNCTION("""COMPUTED_VALUE"""),"Torchlighters")</f>
        <v>Torchlighters</v>
      </c>
      <c r="N825" s="12" t="str">
        <f ca="1">IFERROR(__xludf.DUMMYFUNCTION("""COMPUTED_VALUE"""),"Table2")</f>
        <v>Table2</v>
      </c>
    </row>
    <row r="826" spans="1:14" ht="15.75" customHeight="1" x14ac:dyDescent="0.35">
      <c r="A826" s="12"/>
      <c r="B826" s="12"/>
      <c r="C826" s="12" t="str">
        <f ca="1">IFERROR(__xludf.DUMMYFUNCTION("""COMPUTED_VALUE"""),"The John Bunyan Story")</f>
        <v>The John Bunyan Story</v>
      </c>
      <c r="D826" s="12"/>
      <c r="E826" s="12" t="str">
        <f ca="1">IFERROR(__xludf.DUMMYFUNCTION("""COMPUTED_VALUE"""),"DVD")</f>
        <v>DVD</v>
      </c>
      <c r="F826" s="12" t="str">
        <f ca="1">IFERROR(__xludf.DUMMYFUNCTION("""COMPUTED_VALUE"""),"Kids")</f>
        <v>Kids</v>
      </c>
      <c r="G826" s="12"/>
      <c r="H826" s="12"/>
      <c r="I826" s="12"/>
      <c r="J826" s="12"/>
      <c r="K826" s="13">
        <f ca="1">IFERROR(__xludf.DUMMYFUNCTION("""COMPUTED_VALUE"""),40644)</f>
        <v>40644</v>
      </c>
      <c r="L826" s="12"/>
      <c r="M826" s="12" t="str">
        <f ca="1">IFERROR(__xludf.DUMMYFUNCTION("""COMPUTED_VALUE"""),"Torchlighters")</f>
        <v>Torchlighters</v>
      </c>
      <c r="N826" s="12" t="str">
        <f ca="1">IFERROR(__xludf.DUMMYFUNCTION("""COMPUTED_VALUE"""),"Table2")</f>
        <v>Table2</v>
      </c>
    </row>
    <row r="827" spans="1:14" ht="15.75" customHeight="1" x14ac:dyDescent="0.35">
      <c r="A827" s="12"/>
      <c r="B827" s="12"/>
      <c r="C827" s="12" t="str">
        <f ca="1">IFERROR(__xludf.DUMMYFUNCTION("""COMPUTED_VALUE"""),"The John Newton Story")</f>
        <v>The John Newton Story</v>
      </c>
      <c r="D827" s="12"/>
      <c r="E827" s="12" t="str">
        <f ca="1">IFERROR(__xludf.DUMMYFUNCTION("""COMPUTED_VALUE"""),"DVD")</f>
        <v>DVD</v>
      </c>
      <c r="F827" s="12" t="str">
        <f ca="1">IFERROR(__xludf.DUMMYFUNCTION("""COMPUTED_VALUE"""),"Kids")</f>
        <v>Kids</v>
      </c>
      <c r="G827" s="12"/>
      <c r="H827" s="12"/>
      <c r="I827" s="12"/>
      <c r="J827" s="12"/>
      <c r="K827" s="13">
        <f ca="1">IFERROR(__xludf.DUMMYFUNCTION("""COMPUTED_VALUE"""),44578)</f>
        <v>44578</v>
      </c>
      <c r="L827" s="12"/>
      <c r="M827" s="12" t="str">
        <f ca="1">IFERROR(__xludf.DUMMYFUNCTION("""COMPUTED_VALUE"""),"Torchlighters")</f>
        <v>Torchlighters</v>
      </c>
      <c r="N827" s="12" t="str">
        <f ca="1">IFERROR(__xludf.DUMMYFUNCTION("""COMPUTED_VALUE"""),"Table2")</f>
        <v>Table2</v>
      </c>
    </row>
    <row r="828" spans="1:14" ht="15.75" customHeight="1" x14ac:dyDescent="0.35">
      <c r="A828" s="12"/>
      <c r="B828" s="12"/>
      <c r="C828" s="12" t="str">
        <f ca="1">IFERROR(__xludf.DUMMYFUNCTION("""COMPUTED_VALUE"""),"The John Wesley Story")</f>
        <v>The John Wesley Story</v>
      </c>
      <c r="D828" s="12"/>
      <c r="E828" s="12" t="str">
        <f ca="1">IFERROR(__xludf.DUMMYFUNCTION("""COMPUTED_VALUE"""),"DVD")</f>
        <v>DVD</v>
      </c>
      <c r="F828" s="12" t="str">
        <f ca="1">IFERROR(__xludf.DUMMYFUNCTION("""COMPUTED_VALUE"""),"Kids")</f>
        <v>Kids</v>
      </c>
      <c r="G828" s="12"/>
      <c r="H828" s="12"/>
      <c r="I828" s="12"/>
      <c r="J828" s="12"/>
      <c r="K828" s="13">
        <f ca="1">IFERROR(__xludf.DUMMYFUNCTION("""COMPUTED_VALUE"""),44578)</f>
        <v>44578</v>
      </c>
      <c r="L828" s="12"/>
      <c r="M828" s="12" t="str">
        <f ca="1">IFERROR(__xludf.DUMMYFUNCTION("""COMPUTED_VALUE"""),"Torchlighters")</f>
        <v>Torchlighters</v>
      </c>
      <c r="N828" s="12" t="str">
        <f ca="1">IFERROR(__xludf.DUMMYFUNCTION("""COMPUTED_VALUE"""),"Table2")</f>
        <v>Table2</v>
      </c>
    </row>
    <row r="829" spans="1:14" ht="15.75" customHeight="1" x14ac:dyDescent="0.35">
      <c r="A829" s="12"/>
      <c r="B829" s="12"/>
      <c r="C829" s="12" t="str">
        <f ca="1">IFERROR(__xludf.DUMMYFUNCTION("""COMPUTED_VALUE"""),"The Martin Luther Story")</f>
        <v>The Martin Luther Story</v>
      </c>
      <c r="D829" s="12"/>
      <c r="E829" s="12" t="str">
        <f ca="1">IFERROR(__xludf.DUMMYFUNCTION("""COMPUTED_VALUE"""),"DVD")</f>
        <v>DVD</v>
      </c>
      <c r="F829" s="12" t="str">
        <f ca="1">IFERROR(__xludf.DUMMYFUNCTION("""COMPUTED_VALUE"""),"Kids")</f>
        <v>Kids</v>
      </c>
      <c r="G829" s="12"/>
      <c r="H829" s="12"/>
      <c r="I829" s="12"/>
      <c r="J829" s="12"/>
      <c r="K829" s="13">
        <f ca="1">IFERROR(__xludf.DUMMYFUNCTION("""COMPUTED_VALUE"""),43815)</f>
        <v>43815</v>
      </c>
      <c r="L829" s="12"/>
      <c r="M829" s="12" t="str">
        <f ca="1">IFERROR(__xludf.DUMMYFUNCTION("""COMPUTED_VALUE"""),"Torchlighters")</f>
        <v>Torchlighters</v>
      </c>
      <c r="N829" s="12" t="str">
        <f ca="1">IFERROR(__xludf.DUMMYFUNCTION("""COMPUTED_VALUE"""),"Table2")</f>
        <v>Table2</v>
      </c>
    </row>
    <row r="830" spans="1:14" ht="15.75" customHeight="1" x14ac:dyDescent="0.35">
      <c r="A830" s="12"/>
      <c r="B830" s="12"/>
      <c r="C830" s="12" t="str">
        <f ca="1">IFERROR(__xludf.DUMMYFUNCTION("""COMPUTED_VALUE"""),"Operation Arctic: Viking Invasion")</f>
        <v>Operation Arctic: Viking Invasion</v>
      </c>
      <c r="D830" s="12"/>
      <c r="E830" s="12" t="str">
        <f ca="1">IFERROR(__xludf.DUMMYFUNCTION("""COMPUTED_VALUE"""),"DVD")</f>
        <v>DVD</v>
      </c>
      <c r="F830" s="12" t="str">
        <f ca="1">IFERROR(__xludf.DUMMYFUNCTION("""COMPUTED_VALUE"""),"Kids")</f>
        <v>Kids</v>
      </c>
      <c r="G830" s="12"/>
      <c r="H830" s="12"/>
      <c r="I830" s="12"/>
      <c r="J830" s="12"/>
      <c r="K830" s="13">
        <f ca="1">IFERROR(__xludf.DUMMYFUNCTION("""COMPUTED_VALUE"""),43988)</f>
        <v>43988</v>
      </c>
      <c r="L830" s="12"/>
      <c r="M830" s="12" t="str">
        <f ca="1">IFERROR(__xludf.DUMMYFUNCTION("""COMPUTED_VALUE"""),"Patch the Pirate Kids")</f>
        <v>Patch the Pirate Kids</v>
      </c>
      <c r="N830" s="12" t="str">
        <f ca="1">IFERROR(__xludf.DUMMYFUNCTION("""COMPUTED_VALUE"""),"Table2")</f>
        <v>Table2</v>
      </c>
    </row>
    <row r="831" spans="1:14" ht="15.75" customHeight="1" x14ac:dyDescent="0.35">
      <c r="A831" s="12"/>
      <c r="B831" s="12"/>
      <c r="C831" s="12" t="str">
        <f ca="1">IFERROR(__xludf.DUMMYFUNCTION("""COMPUTED_VALUE"""),"The Perpetua Story")</f>
        <v>The Perpetua Story</v>
      </c>
      <c r="D831" s="12"/>
      <c r="E831" s="12" t="str">
        <f ca="1">IFERROR(__xludf.DUMMYFUNCTION("""COMPUTED_VALUE"""),"DVD")</f>
        <v>DVD</v>
      </c>
      <c r="F831" s="12" t="str">
        <f ca="1">IFERROR(__xludf.DUMMYFUNCTION("""COMPUTED_VALUE"""),"Kids")</f>
        <v>Kids</v>
      </c>
      <c r="G831" s="12"/>
      <c r="H831" s="12"/>
      <c r="I831" s="12"/>
      <c r="J831" s="12"/>
      <c r="K831" s="13">
        <f ca="1">IFERROR(__xludf.DUMMYFUNCTION("""COMPUTED_VALUE"""),40644)</f>
        <v>40644</v>
      </c>
      <c r="L831" s="12"/>
      <c r="M831" s="12" t="str">
        <f ca="1">IFERROR(__xludf.DUMMYFUNCTION("""COMPUTED_VALUE"""),"Torchlighters")</f>
        <v>Torchlighters</v>
      </c>
      <c r="N831" s="12" t="str">
        <f ca="1">IFERROR(__xludf.DUMMYFUNCTION("""COMPUTED_VALUE"""),"Table2")</f>
        <v>Table2</v>
      </c>
    </row>
    <row r="832" spans="1:14" ht="15.75" customHeight="1" x14ac:dyDescent="0.35">
      <c r="A832" s="12"/>
      <c r="B832" s="12"/>
      <c r="C832" s="12" t="str">
        <f ca="1">IFERROR(__xludf.DUMMYFUNCTION("""COMPUTED_VALUE"""),"The Pilgrim's Progress")</f>
        <v>The Pilgrim's Progress</v>
      </c>
      <c r="D832" s="12"/>
      <c r="E832" s="12" t="str">
        <f ca="1">IFERROR(__xludf.DUMMYFUNCTION("""COMPUTED_VALUE"""),"DVD")</f>
        <v>DVD</v>
      </c>
      <c r="F832" s="12" t="str">
        <f ca="1">IFERROR(__xludf.DUMMYFUNCTION("""COMPUTED_VALUE"""),"Kids")</f>
        <v>Kids</v>
      </c>
      <c r="G832" s="12"/>
      <c r="H832" s="12"/>
      <c r="I832" s="12"/>
      <c r="J832" s="12"/>
      <c r="K832" s="13">
        <f ca="1">IFERROR(__xludf.DUMMYFUNCTION("""COMPUTED_VALUE"""),44590)</f>
        <v>44590</v>
      </c>
      <c r="L832" s="12"/>
      <c r="M832" s="12"/>
      <c r="N832" s="12" t="str">
        <f ca="1">IFERROR(__xludf.DUMMYFUNCTION("""COMPUTED_VALUE"""),"Table2")</f>
        <v>Table2</v>
      </c>
    </row>
    <row r="833" spans="1:14" ht="15.75" customHeight="1" x14ac:dyDescent="0.35">
      <c r="A833" s="12"/>
      <c r="B833" s="12"/>
      <c r="C833" s="12" t="str">
        <f ca="1">IFERROR(__xludf.DUMMYFUNCTION("""COMPUTED_VALUE"""),"The Richard Wurmbrand Story ")</f>
        <v xml:space="preserve">The Richard Wurmbrand Story </v>
      </c>
      <c r="D833" s="12"/>
      <c r="E833" s="12" t="str">
        <f ca="1">IFERROR(__xludf.DUMMYFUNCTION("""COMPUTED_VALUE"""),"DVD")</f>
        <v>DVD</v>
      </c>
      <c r="F833" s="12" t="str">
        <f ca="1">IFERROR(__xludf.DUMMYFUNCTION("""COMPUTED_VALUE"""),"Kids")</f>
        <v>Kids</v>
      </c>
      <c r="G833" s="12"/>
      <c r="H833" s="12"/>
      <c r="I833" s="12"/>
      <c r="J833" s="12"/>
      <c r="K833" s="13">
        <f ca="1">IFERROR(__xludf.DUMMYFUNCTION("""COMPUTED_VALUE"""),40644)</f>
        <v>40644</v>
      </c>
      <c r="L833" s="12"/>
      <c r="M833" s="12" t="str">
        <f ca="1">IFERROR(__xludf.DUMMYFUNCTION("""COMPUTED_VALUE"""),"Torchlighters")</f>
        <v>Torchlighters</v>
      </c>
      <c r="N833" s="12" t="str">
        <f ca="1">IFERROR(__xludf.DUMMYFUNCTION("""COMPUTED_VALUE"""),"Table2")</f>
        <v>Table2</v>
      </c>
    </row>
    <row r="834" spans="1:14" ht="15.75" customHeight="1" x14ac:dyDescent="0.35">
      <c r="A834" s="12"/>
      <c r="B834" s="12"/>
      <c r="C834" s="12" t="str">
        <f ca="1">IFERROR(__xludf.DUMMYFUNCTION("""COMPUTED_VALUE"""),"The Robert Jermain Thomas Story")</f>
        <v>The Robert Jermain Thomas Story</v>
      </c>
      <c r="D834" s="12"/>
      <c r="E834" s="12" t="str">
        <f ca="1">IFERROR(__xludf.DUMMYFUNCTION("""COMPUTED_VALUE"""),"DVD")</f>
        <v>DVD</v>
      </c>
      <c r="F834" s="12" t="str">
        <f ca="1">IFERROR(__xludf.DUMMYFUNCTION("""COMPUTED_VALUE"""),"Kids")</f>
        <v>Kids</v>
      </c>
      <c r="G834" s="12"/>
      <c r="H834" s="12"/>
      <c r="I834" s="12"/>
      <c r="J834" s="12"/>
      <c r="K834" s="13">
        <f ca="1">IFERROR(__xludf.DUMMYFUNCTION("""COMPUTED_VALUE"""),42705)</f>
        <v>42705</v>
      </c>
      <c r="L834" s="12"/>
      <c r="M834" s="12" t="str">
        <f ca="1">IFERROR(__xludf.DUMMYFUNCTION("""COMPUTED_VALUE"""),"Torchlighters")</f>
        <v>Torchlighters</v>
      </c>
      <c r="N834" s="12" t="str">
        <f ca="1">IFERROR(__xludf.DUMMYFUNCTION("""COMPUTED_VALUE"""),"Table2")</f>
        <v>Table2</v>
      </c>
    </row>
    <row r="835" spans="1:14" ht="15.75" customHeight="1" x14ac:dyDescent="0.35">
      <c r="A835" s="12"/>
      <c r="B835" s="12"/>
      <c r="C835" s="12" t="str">
        <f ca="1">IFERROR(__xludf.DUMMYFUNCTION("""COMPUTED_VALUE"""),"The Runner from Ravenshead")</f>
        <v>The Runner from Ravenshead</v>
      </c>
      <c r="D835" s="12"/>
      <c r="E835" s="12" t="str">
        <f ca="1">IFERROR(__xludf.DUMMYFUNCTION("""COMPUTED_VALUE"""),"DVD")</f>
        <v>DVD</v>
      </c>
      <c r="F835" s="12" t="str">
        <f ca="1">IFERROR(__xludf.DUMMYFUNCTION("""COMPUTED_VALUE"""),"Kids")</f>
        <v>Kids</v>
      </c>
      <c r="G835" s="12"/>
      <c r="H835" s="12"/>
      <c r="I835" s="12"/>
      <c r="J835" s="12"/>
      <c r="K835" s="13">
        <f ca="1">IFERROR(__xludf.DUMMYFUNCTION("""COMPUTED_VALUE"""),43023)</f>
        <v>43023</v>
      </c>
      <c r="L835" s="12"/>
      <c r="M835" s="12"/>
      <c r="N835" s="12" t="str">
        <f ca="1">IFERROR(__xludf.DUMMYFUNCTION("""COMPUTED_VALUE"""),"Table2")</f>
        <v>Table2</v>
      </c>
    </row>
    <row r="836" spans="1:14" ht="15.75" customHeight="1" x14ac:dyDescent="0.35">
      <c r="A836" s="12"/>
      <c r="B836" s="12"/>
      <c r="C836" s="12" t="str">
        <f ca="1">IFERROR(__xludf.DUMMYFUNCTION("""COMPUTED_VALUE"""),"The Samuel Morris Story")</f>
        <v>The Samuel Morris Story</v>
      </c>
      <c r="D836" s="12"/>
      <c r="E836" s="12" t="str">
        <f ca="1">IFERROR(__xludf.DUMMYFUNCTION("""COMPUTED_VALUE"""),"DVD")</f>
        <v>DVD</v>
      </c>
      <c r="F836" s="12" t="str">
        <f ca="1">IFERROR(__xludf.DUMMYFUNCTION("""COMPUTED_VALUE"""),"Kids")</f>
        <v>Kids</v>
      </c>
      <c r="G836" s="12"/>
      <c r="H836" s="12"/>
      <c r="I836" s="12"/>
      <c r="J836" s="12"/>
      <c r="K836" s="13">
        <f ca="1">IFERROR(__xludf.DUMMYFUNCTION("""COMPUTED_VALUE"""),41346)</f>
        <v>41346</v>
      </c>
      <c r="L836" s="12"/>
      <c r="M836" s="12" t="str">
        <f ca="1">IFERROR(__xludf.DUMMYFUNCTION("""COMPUTED_VALUE"""),"Torchlighters")</f>
        <v>Torchlighters</v>
      </c>
      <c r="N836" s="12" t="str">
        <f ca="1">IFERROR(__xludf.DUMMYFUNCTION("""COMPUTED_VALUE"""),"Table2")</f>
        <v>Table2</v>
      </c>
    </row>
    <row r="837" spans="1:14" ht="15.75" customHeight="1" x14ac:dyDescent="0.35">
      <c r="A837" s="12"/>
      <c r="B837" s="12"/>
      <c r="C837" s="12" t="str">
        <f ca="1">IFERROR(__xludf.DUMMYFUNCTION("""COMPUTED_VALUE"""),"The Star: A Tale of Faith and Friendship")</f>
        <v>The Star: A Tale of Faith and Friendship</v>
      </c>
      <c r="D837" s="12"/>
      <c r="E837" s="12" t="str">
        <f ca="1">IFERROR(__xludf.DUMMYFUNCTION("""COMPUTED_VALUE"""),"DVD")</f>
        <v>DVD</v>
      </c>
      <c r="F837" s="12" t="str">
        <f ca="1">IFERROR(__xludf.DUMMYFUNCTION("""COMPUTED_VALUE"""),"Kids")</f>
        <v>Kids</v>
      </c>
      <c r="G837" s="12"/>
      <c r="H837" s="12"/>
      <c r="I837" s="12"/>
      <c r="J837" s="12"/>
      <c r="K837" s="13">
        <f ca="1">IFERROR(__xludf.DUMMYFUNCTION("""COMPUTED_VALUE"""),44578)</f>
        <v>44578</v>
      </c>
      <c r="L837" s="12"/>
      <c r="M837" s="12"/>
      <c r="N837" s="12" t="str">
        <f ca="1">IFERROR(__xludf.DUMMYFUNCTION("""COMPUTED_VALUE"""),"Table2")</f>
        <v>Table2</v>
      </c>
    </row>
    <row r="838" spans="1:14" ht="15.75" customHeight="1" x14ac:dyDescent="0.35">
      <c r="A838" s="12"/>
      <c r="B838" s="12"/>
      <c r="C838" s="12" t="str">
        <f ca="1">IFERROR(__xludf.DUMMYFUNCTION("""COMPUTED_VALUE"""),"The William Booth Story")</f>
        <v>The William Booth Story</v>
      </c>
      <c r="D838" s="12"/>
      <c r="E838" s="12" t="str">
        <f ca="1">IFERROR(__xludf.DUMMYFUNCTION("""COMPUTED_VALUE"""),"DVD")</f>
        <v>DVD</v>
      </c>
      <c r="F838" s="12" t="str">
        <f ca="1">IFERROR(__xludf.DUMMYFUNCTION("""COMPUTED_VALUE"""),"Kids")</f>
        <v>Kids</v>
      </c>
      <c r="G838" s="12"/>
      <c r="H838" s="12"/>
      <c r="I838" s="12"/>
      <c r="J838" s="12"/>
      <c r="K838" s="13">
        <f ca="1">IFERROR(__xludf.DUMMYFUNCTION("""COMPUTED_VALUE"""),41346)</f>
        <v>41346</v>
      </c>
      <c r="L838" s="12"/>
      <c r="M838" s="12" t="str">
        <f ca="1">IFERROR(__xludf.DUMMYFUNCTION("""COMPUTED_VALUE"""),"Torchlighters")</f>
        <v>Torchlighters</v>
      </c>
      <c r="N838" s="12" t="str">
        <f ca="1">IFERROR(__xludf.DUMMYFUNCTION("""COMPUTED_VALUE"""),"Table2")</f>
        <v>Table2</v>
      </c>
    </row>
    <row r="839" spans="1:14" ht="15.75" customHeight="1" x14ac:dyDescent="0.35">
      <c r="A839" s="12"/>
      <c r="B839" s="12"/>
      <c r="C839" s="12" t="str">
        <f ca="1">IFERROR(__xludf.DUMMYFUNCTION("""COMPUTED_VALUE"""),"The William Tyndale Story")</f>
        <v>The William Tyndale Story</v>
      </c>
      <c r="D839" s="12"/>
      <c r="E839" s="12" t="str">
        <f ca="1">IFERROR(__xludf.DUMMYFUNCTION("""COMPUTED_VALUE"""),"DVD")</f>
        <v>DVD</v>
      </c>
      <c r="F839" s="12" t="str">
        <f ca="1">IFERROR(__xludf.DUMMYFUNCTION("""COMPUTED_VALUE"""),"Kids")</f>
        <v>Kids</v>
      </c>
      <c r="G839" s="12"/>
      <c r="H839" s="12"/>
      <c r="I839" s="12"/>
      <c r="J839" s="12"/>
      <c r="K839" s="13">
        <f ca="1">IFERROR(__xludf.DUMMYFUNCTION("""COMPUTED_VALUE"""),40644)</f>
        <v>40644</v>
      </c>
      <c r="L839" s="12"/>
      <c r="M839" s="12" t="str">
        <f ca="1">IFERROR(__xludf.DUMMYFUNCTION("""COMPUTED_VALUE"""),"Torchlighters")</f>
        <v>Torchlighters</v>
      </c>
      <c r="N839" s="12" t="str">
        <f ca="1">IFERROR(__xludf.DUMMYFUNCTION("""COMPUTED_VALUE"""),"Table2")</f>
        <v>Table2</v>
      </c>
    </row>
    <row r="840" spans="1:14" ht="15.75" customHeight="1" x14ac:dyDescent="0.35">
      <c r="A840" s="12"/>
      <c r="B840" s="12"/>
      <c r="C840" s="12" t="str">
        <f ca="1">IFERROR(__xludf.DUMMYFUNCTION("""COMPUTED_VALUE"""),"An Introduction to What's the Difference?  Manhood and Womanhood Defined According to the Bible")</f>
        <v>An Introduction to What's the Difference?  Manhood and Womanhood Defined According to the Bible</v>
      </c>
      <c r="D840" s="12"/>
      <c r="E840" s="12" t="str">
        <f ca="1">IFERROR(__xludf.DUMMYFUNCTION("""COMPUTED_VALUE"""),"DVD")</f>
        <v>DVD</v>
      </c>
      <c r="F840" s="12" t="str">
        <f ca="1">IFERROR(__xludf.DUMMYFUNCTION("""COMPUTED_VALUE"""),"Understanding Mankind")</f>
        <v>Understanding Mankind</v>
      </c>
      <c r="G840" s="12"/>
      <c r="H840" s="12"/>
      <c r="I840" s="12"/>
      <c r="J840" s="12"/>
      <c r="K840" s="13"/>
      <c r="L840" s="12"/>
      <c r="M840" s="12" t="str">
        <f ca="1">IFERROR(__xludf.DUMMYFUNCTION("""COMPUTED_VALUE"""),"Piper, John")</f>
        <v>Piper, John</v>
      </c>
      <c r="N840" s="12" t="str">
        <f ca="1">IFERROR(__xludf.DUMMYFUNCTION("""COMPUTED_VALUE"""),"Table2")</f>
        <v>Table2</v>
      </c>
    </row>
    <row r="841" spans="1:14" ht="15.75" customHeight="1" x14ac:dyDescent="0.35">
      <c r="A841" s="12"/>
      <c r="B841" s="12"/>
      <c r="C841" s="12" t="str">
        <f ca="1">IFERROR(__xludf.DUMMYFUNCTION("""COMPUTED_VALUE"""),"Getting to the Heart of Parenting")</f>
        <v>Getting to the Heart of Parenting</v>
      </c>
      <c r="D841" s="12"/>
      <c r="E841" s="12" t="str">
        <f ca="1">IFERROR(__xludf.DUMMYFUNCTION("""COMPUTED_VALUE"""),"DVD")</f>
        <v>DVD</v>
      </c>
      <c r="F841" s="12" t="str">
        <f ca="1">IFERROR(__xludf.DUMMYFUNCTION("""COMPUTED_VALUE"""),"Understanding Mankind")</f>
        <v>Understanding Mankind</v>
      </c>
      <c r="G841" s="12"/>
      <c r="H841" s="12"/>
      <c r="I841" s="12"/>
      <c r="J841" s="12"/>
      <c r="K841" s="13">
        <f ca="1">IFERROR(__xludf.DUMMYFUNCTION("""COMPUTED_VALUE"""),40695)</f>
        <v>40695</v>
      </c>
      <c r="L841" s="12"/>
      <c r="M841" s="12" t="str">
        <f ca="1">IFERROR(__xludf.DUMMYFUNCTION("""COMPUTED_VALUE"""),"Tripp, Paul David")</f>
        <v>Tripp, Paul David</v>
      </c>
      <c r="N841" s="12" t="str">
        <f ca="1">IFERROR(__xludf.DUMMYFUNCTION("""COMPUTED_VALUE"""),"Table2")</f>
        <v>Table2</v>
      </c>
    </row>
    <row r="842" spans="1:14" ht="15.75" customHeight="1" x14ac:dyDescent="0.35">
      <c r="A842" s="12"/>
      <c r="B842" s="12"/>
      <c r="C842" s="12" t="str">
        <f ca="1">IFERROR(__xludf.DUMMYFUNCTION("""COMPUTED_VALUE"""),"Sex and the Supremacy of Christ")</f>
        <v>Sex and the Supremacy of Christ</v>
      </c>
      <c r="D842" s="12"/>
      <c r="E842" s="12" t="str">
        <f ca="1">IFERROR(__xludf.DUMMYFUNCTION("""COMPUTED_VALUE"""),"DVD")</f>
        <v>DVD</v>
      </c>
      <c r="F842" s="12" t="str">
        <f ca="1">IFERROR(__xludf.DUMMYFUNCTION("""COMPUTED_VALUE"""),"Understanding Mankind")</f>
        <v>Understanding Mankind</v>
      </c>
      <c r="G842" s="12"/>
      <c r="H842" s="12"/>
      <c r="I842" s="12"/>
      <c r="J842" s="12"/>
      <c r="K842" s="13">
        <f ca="1">IFERROR(__xludf.DUMMYFUNCTION("""COMPUTED_VALUE"""),40188)</f>
        <v>40188</v>
      </c>
      <c r="L842" s="12"/>
      <c r="M842" s="12" t="str">
        <f ca="1">IFERROR(__xludf.DUMMYFUNCTION("""COMPUTED_VALUE"""),"Piper, John")</f>
        <v>Piper, John</v>
      </c>
      <c r="N842" s="12" t="str">
        <f ca="1">IFERROR(__xludf.DUMMYFUNCTION("""COMPUTED_VALUE"""),"Table2")</f>
        <v>Table2</v>
      </c>
    </row>
    <row r="843" spans="1:14" ht="15.75" customHeight="1" x14ac:dyDescent="0.35">
      <c r="A843" s="12"/>
      <c r="B843" s="12"/>
      <c r="C843" s="12" t="str">
        <f ca="1">IFERROR(__xludf.DUMMYFUNCTION("""COMPUTED_VALUE"""),"Somebody's Daughter A Journey to Freedom from Porn")</f>
        <v>Somebody's Daughter A Journey to Freedom from Porn</v>
      </c>
      <c r="D843" s="12"/>
      <c r="E843" s="12" t="str">
        <f ca="1">IFERROR(__xludf.DUMMYFUNCTION("""COMPUTED_VALUE"""),"DVD")</f>
        <v>DVD</v>
      </c>
      <c r="F843" s="12" t="str">
        <f ca="1">IFERROR(__xludf.DUMMYFUNCTION("""COMPUTED_VALUE"""),"Understanding Mankind")</f>
        <v>Understanding Mankind</v>
      </c>
      <c r="G843" s="12"/>
      <c r="H843" s="12"/>
      <c r="I843" s="12"/>
      <c r="J843" s="12"/>
      <c r="K843" s="13">
        <f ca="1">IFERROR(__xludf.DUMMYFUNCTION("""COMPUTED_VALUE"""),41346)</f>
        <v>41346</v>
      </c>
      <c r="L843" s="12"/>
      <c r="M843" s="12"/>
      <c r="N843" s="12" t="str">
        <f ca="1">IFERROR(__xludf.DUMMYFUNCTION("""COMPUTED_VALUE"""),"Table2")</f>
        <v>Table2</v>
      </c>
    </row>
    <row r="844" spans="1:14" ht="15.75" customHeight="1" x14ac:dyDescent="0.35">
      <c r="A844" s="12"/>
      <c r="B844" s="12"/>
      <c r="C844" s="12" t="str">
        <f ca="1">IFERROR(__xludf.DUMMYFUNCTION("""COMPUTED_VALUE"""),"What Did You Expect?  Redeeming the Reality of Marriage")</f>
        <v>What Did You Expect?  Redeeming the Reality of Marriage</v>
      </c>
      <c r="D844" s="12"/>
      <c r="E844" s="12" t="str">
        <f ca="1">IFERROR(__xludf.DUMMYFUNCTION("""COMPUTED_VALUE"""),"DVD")</f>
        <v>DVD</v>
      </c>
      <c r="F844" s="12" t="str">
        <f ca="1">IFERROR(__xludf.DUMMYFUNCTION("""COMPUTED_VALUE"""),"Understanding Mankind")</f>
        <v>Understanding Mankind</v>
      </c>
      <c r="G844" s="12"/>
      <c r="H844" s="12"/>
      <c r="I844" s="12"/>
      <c r="J844" s="12"/>
      <c r="K844" s="13">
        <f ca="1">IFERROR(__xludf.DUMMYFUNCTION("""COMPUTED_VALUE"""),41499)</f>
        <v>41499</v>
      </c>
      <c r="L844" s="12"/>
      <c r="M844" s="12" t="str">
        <f ca="1">IFERROR(__xludf.DUMMYFUNCTION("""COMPUTED_VALUE"""),"Tripp, Paul David")</f>
        <v>Tripp, Paul David</v>
      </c>
      <c r="N844" s="12" t="str">
        <f ca="1">IFERROR(__xludf.DUMMYFUNCTION("""COMPUTED_VALUE"""),"Table2")</f>
        <v>Table2</v>
      </c>
    </row>
    <row r="845" spans="1:14" ht="15.75" customHeight="1" x14ac:dyDescent="0.35">
      <c r="A845" s="12"/>
      <c r="B845" s="12"/>
      <c r="C845" s="12" t="str">
        <f ca="1">IFERROR(__xludf.DUMMYFUNCTION("""COMPUTED_VALUE"""),"1 Peter with Don Carson (with study guide booklet)")</f>
        <v>1 Peter with Don Carson (with study guide booklet)</v>
      </c>
      <c r="D845" s="12"/>
      <c r="E845" s="12" t="str">
        <f ca="1">IFERROR(__xludf.DUMMYFUNCTION("""COMPUTED_VALUE"""),"DVD/Bk")</f>
        <v>DVD/Bk</v>
      </c>
      <c r="F845" s="12"/>
      <c r="G845" s="12"/>
      <c r="H845" s="12"/>
      <c r="I845" s="12"/>
      <c r="J845" s="12"/>
      <c r="K845" s="13">
        <f ca="1">IFERROR(__xludf.DUMMYFUNCTION("""COMPUTED_VALUE"""),41346)</f>
        <v>41346</v>
      </c>
      <c r="L845" s="12"/>
      <c r="M845" s="12"/>
      <c r="N845" s="12" t="str">
        <f ca="1">IFERROR(__xludf.DUMMYFUNCTION("""COMPUTED_VALUE"""),"Table2")</f>
        <v>Table2</v>
      </c>
    </row>
    <row r="846" spans="1:14" ht="15.75" customHeight="1" x14ac:dyDescent="0.35">
      <c r="A846" s="12"/>
      <c r="B846" s="12"/>
      <c r="C846" s="12" t="str">
        <f ca="1">IFERROR(__xludf.DUMMYFUNCTION("""COMPUTED_VALUE"""),"Adoniram and Ann Judson")</f>
        <v>Adoniram and Ann Judson</v>
      </c>
      <c r="D846" s="12"/>
      <c r="E846" s="12" t="str">
        <f ca="1">IFERROR(__xludf.DUMMYFUNCTION("""COMPUTED_VALUE"""),"DVD")</f>
        <v>DVD</v>
      </c>
      <c r="F846" s="12"/>
      <c r="G846" s="12"/>
      <c r="H846" s="12"/>
      <c r="I846" s="12"/>
      <c r="J846" s="12"/>
      <c r="K846" s="13">
        <f ca="1">IFERROR(__xludf.DUMMYFUNCTION("""COMPUTED_VALUE"""),44578)</f>
        <v>44578</v>
      </c>
      <c r="L846" s="12"/>
      <c r="M846" s="12"/>
      <c r="N846" s="12" t="str">
        <f ca="1">IFERROR(__xludf.DUMMYFUNCTION("""COMPUTED_VALUE"""),"Table2")</f>
        <v>Table2</v>
      </c>
    </row>
    <row r="847" spans="1:14" ht="15.75" customHeight="1" x14ac:dyDescent="0.35">
      <c r="A847" s="12"/>
      <c r="B847" s="12"/>
      <c r="C847" s="12" t="str">
        <f ca="1">IFERROR(__xludf.DUMMYFUNCTION("""COMPUTED_VALUE"""),"Alone Yet Not Alone")</f>
        <v>Alone Yet Not Alone</v>
      </c>
      <c r="D847" s="12"/>
      <c r="E847" s="12" t="str">
        <f ca="1">IFERROR(__xludf.DUMMYFUNCTION("""COMPUTED_VALUE"""),"DVD")</f>
        <v>DVD</v>
      </c>
      <c r="F847" s="12"/>
      <c r="G847" s="12"/>
      <c r="H847" s="12"/>
      <c r="I847" s="12"/>
      <c r="J847" s="12"/>
      <c r="K847" s="13">
        <f ca="1">IFERROR(__xludf.DUMMYFUNCTION("""COMPUTED_VALUE"""),42767)</f>
        <v>42767</v>
      </c>
      <c r="L847" s="12" t="str">
        <f ca="1">IFERROR(__xludf.DUMMYFUNCTION("""COMPUTED_VALUE"""),"Checked out on 7/21/19; follow up on whether this was returned")</f>
        <v>Checked out on 7/21/19; follow up on whether this was returned</v>
      </c>
      <c r="M847" s="12"/>
      <c r="N847" s="12" t="str">
        <f ca="1">IFERROR(__xludf.DUMMYFUNCTION("""COMPUTED_VALUE"""),"Table2")</f>
        <v>Table2</v>
      </c>
    </row>
    <row r="848" spans="1:14" ht="15.75" customHeight="1" x14ac:dyDescent="0.35">
      <c r="A848" s="12"/>
      <c r="B848" s="12"/>
      <c r="C848" s="12" t="str">
        <f ca="1">IFERROR(__xludf.DUMMYFUNCTION("""COMPUTED_VALUE"""),"Already Gone: Why Your Kids Will Quit Church . . .")</f>
        <v>Already Gone: Why Your Kids Will Quit Church . . .</v>
      </c>
      <c r="D848" s="12"/>
      <c r="E848" s="12" t="str">
        <f ca="1">IFERROR(__xludf.DUMMYFUNCTION("""COMPUTED_VALUE"""),"DVD")</f>
        <v>DVD</v>
      </c>
      <c r="F848" s="12"/>
      <c r="G848" s="12"/>
      <c r="H848" s="12"/>
      <c r="I848" s="12"/>
      <c r="J848" s="12"/>
      <c r="K848" s="13">
        <f ca="1">IFERROR(__xludf.DUMMYFUNCTION("""COMPUTED_VALUE"""),40188)</f>
        <v>40188</v>
      </c>
      <c r="L848" s="12" t="str">
        <f ca="1">IFERROR(__xludf.DUMMYFUNCTION("""COMPUTED_VALUE"""),"Checked out on 3/7/16; follow up on whether this was returned")</f>
        <v>Checked out on 3/7/16; follow up on whether this was returned</v>
      </c>
      <c r="M848" s="12"/>
      <c r="N848" s="12" t="str">
        <f ca="1">IFERROR(__xludf.DUMMYFUNCTION("""COMPUTED_VALUE"""),"Table2")</f>
        <v>Table2</v>
      </c>
    </row>
    <row r="849" spans="1:14" ht="15.75" customHeight="1" x14ac:dyDescent="0.35">
      <c r="A849" s="12"/>
      <c r="B849" s="12"/>
      <c r="C849" s="12" t="str">
        <f ca="1">IFERROR(__xludf.DUMMYFUNCTION("""COMPUTED_VALUE"""),"Andrew Murray: Africa for Christ,  A documentary about a true spiritual pioneer")</f>
        <v>Andrew Murray: Africa for Christ,  A documentary about a true spiritual pioneer</v>
      </c>
      <c r="D849" s="12"/>
      <c r="E849" s="12" t="str">
        <f ca="1">IFERROR(__xludf.DUMMYFUNCTION("""COMPUTED_VALUE"""),"DVD")</f>
        <v>DVD</v>
      </c>
      <c r="F849" s="12"/>
      <c r="G849" s="12"/>
      <c r="H849" s="12"/>
      <c r="I849" s="12"/>
      <c r="J849" s="12"/>
      <c r="K849" s="13">
        <f ca="1">IFERROR(__xludf.DUMMYFUNCTION("""COMPUTED_VALUE"""),44578)</f>
        <v>44578</v>
      </c>
      <c r="L849" s="12"/>
      <c r="M849" s="12"/>
      <c r="N849" s="12" t="str">
        <f ca="1">IFERROR(__xludf.DUMMYFUNCTION("""COMPUTED_VALUE"""),"Table2")</f>
        <v>Table2</v>
      </c>
    </row>
    <row r="850" spans="1:14" ht="15.75" customHeight="1" x14ac:dyDescent="0.35">
      <c r="A850" s="12"/>
      <c r="B850" s="12"/>
      <c r="C850" s="12" t="str">
        <f ca="1">IFERROR(__xludf.DUMMYFUNCTION("""COMPUTED_VALUE"""),"Anthology")</f>
        <v>Anthology</v>
      </c>
      <c r="D850" s="12"/>
      <c r="E850" s="12" t="str">
        <f ca="1">IFERROR(__xludf.DUMMYFUNCTION("""COMPUTED_VALUE"""),"DVD")</f>
        <v>DVD</v>
      </c>
      <c r="F850" s="12"/>
      <c r="G850" s="12"/>
      <c r="H850" s="12"/>
      <c r="I850" s="12"/>
      <c r="J850" s="12"/>
      <c r="K850" s="13"/>
      <c r="L850" s="12"/>
      <c r="M850" s="12" t="str">
        <f ca="1">IFERROR(__xludf.DUMMYFUNCTION("""COMPUTED_VALUE"""),"Alliance of Confessing Evangelicals - Princeton Conference")</f>
        <v>Alliance of Confessing Evangelicals - Princeton Conference</v>
      </c>
      <c r="N850" s="12" t="str">
        <f ca="1">IFERROR(__xludf.DUMMYFUNCTION("""COMPUTED_VALUE"""),"Table2")</f>
        <v>Table2</v>
      </c>
    </row>
    <row r="851" spans="1:14" ht="15.75" customHeight="1" x14ac:dyDescent="0.35">
      <c r="A851" s="12"/>
      <c r="B851" s="12"/>
      <c r="C851" s="12" t="str">
        <f ca="1">IFERROR(__xludf.DUMMYFUNCTION("""COMPUTED_VALUE"""),"The Apocalypse")</f>
        <v>The Apocalypse</v>
      </c>
      <c r="D851" s="12"/>
      <c r="E851" s="12" t="str">
        <f ca="1">IFERROR(__xludf.DUMMYFUNCTION("""COMPUTED_VALUE"""),"DVD")</f>
        <v>DVD</v>
      </c>
      <c r="F851" s="12"/>
      <c r="G851" s="12"/>
      <c r="H851" s="12"/>
      <c r="I851" s="12"/>
      <c r="J851" s="12"/>
      <c r="K851" s="13">
        <f ca="1">IFERROR(__xludf.DUMMYFUNCTION("""COMPUTED_VALUE"""),44578)</f>
        <v>44578</v>
      </c>
      <c r="L851" s="12"/>
      <c r="M851" s="12" t="str">
        <f ca="1">IFERROR(__xludf.DUMMYFUNCTION("""COMPUTED_VALUE"""),"The Bible Collection")</f>
        <v>The Bible Collection</v>
      </c>
      <c r="N851" s="12" t="str">
        <f ca="1">IFERROR(__xludf.DUMMYFUNCTION("""COMPUTED_VALUE"""),"Table2")</f>
        <v>Table2</v>
      </c>
    </row>
    <row r="852" spans="1:14" ht="15.75" customHeight="1" x14ac:dyDescent="0.35">
      <c r="A852" s="12"/>
      <c r="B852" s="12"/>
      <c r="C852" s="12" t="str">
        <f ca="1">IFERROR(__xludf.DUMMYFUNCTION("""COMPUTED_VALUE"""),"Battling Unbelief")</f>
        <v>Battling Unbelief</v>
      </c>
      <c r="D852" s="12"/>
      <c r="E852" s="12" t="str">
        <f ca="1">IFERROR(__xludf.DUMMYFUNCTION("""COMPUTED_VALUE"""),"DVD")</f>
        <v>DVD</v>
      </c>
      <c r="F852" s="12"/>
      <c r="G852" s="12"/>
      <c r="H852" s="12"/>
      <c r="I852" s="12"/>
      <c r="J852" s="12"/>
      <c r="K852" s="13">
        <f ca="1">IFERROR(__xludf.DUMMYFUNCTION("""COMPUTED_VALUE"""),40858)</f>
        <v>40858</v>
      </c>
      <c r="L852" s="12"/>
      <c r="M852" s="12"/>
      <c r="N852" s="12" t="str">
        <f ca="1">IFERROR(__xludf.DUMMYFUNCTION("""COMPUTED_VALUE"""),"Table2")</f>
        <v>Table2</v>
      </c>
    </row>
    <row r="853" spans="1:14" ht="15.75" customHeight="1" x14ac:dyDescent="0.35">
      <c r="A853" s="12"/>
      <c r="B853" s="12"/>
      <c r="C853" s="12" t="str">
        <f ca="1">IFERROR(__xludf.DUMMYFUNCTION("""COMPUTED_VALUE"""),"The Biggest Story")</f>
        <v>The Biggest Story</v>
      </c>
      <c r="D853" s="12"/>
      <c r="E853" s="12" t="str">
        <f ca="1">IFERROR(__xludf.DUMMYFUNCTION("""COMPUTED_VALUE"""),"DVD")</f>
        <v>DVD</v>
      </c>
      <c r="F853" s="12"/>
      <c r="G853" s="12"/>
      <c r="H853" s="12"/>
      <c r="I853" s="12"/>
      <c r="J853" s="12"/>
      <c r="K853" s="13">
        <f ca="1">IFERROR(__xludf.DUMMYFUNCTION("""COMPUTED_VALUE"""),42659)</f>
        <v>42659</v>
      </c>
      <c r="L853" s="12"/>
      <c r="M853" s="12" t="str">
        <f ca="1">IFERROR(__xludf.DUMMYFUNCTION("""COMPUTED_VALUE"""),"DeYoung, Kevin")</f>
        <v>DeYoung, Kevin</v>
      </c>
      <c r="N853" s="12" t="str">
        <f ca="1">IFERROR(__xludf.DUMMYFUNCTION("""COMPUTED_VALUE"""),"Table2")</f>
        <v>Table2</v>
      </c>
    </row>
    <row r="854" spans="1:14" ht="15.75" customHeight="1" x14ac:dyDescent="0.35">
      <c r="A854" s="12"/>
      <c r="B854" s="12"/>
      <c r="C854" s="12" t="str">
        <f ca="1">IFERROR(__xludf.DUMMYFUNCTION("""COMPUTED_VALUE"""),"The Blazing Center")</f>
        <v>The Blazing Center</v>
      </c>
      <c r="D854" s="12"/>
      <c r="E854" s="12" t="str">
        <f ca="1">IFERROR(__xludf.DUMMYFUNCTION("""COMPUTED_VALUE"""),"DVD")</f>
        <v>DVD</v>
      </c>
      <c r="F854" s="12"/>
      <c r="G854" s="12"/>
      <c r="H854" s="12"/>
      <c r="I854" s="12"/>
      <c r="J854" s="12"/>
      <c r="K854" s="13">
        <f ca="1">IFERROR(__xludf.DUMMYFUNCTION("""COMPUTED_VALUE"""),40051)</f>
        <v>40051</v>
      </c>
      <c r="L854" s="12" t="str">
        <f ca="1">IFERROR(__xludf.DUMMYFUNCTION("""COMPUTED_VALUE"""),"Checked out on 9/3/17; follow up on whether this was returned")</f>
        <v>Checked out on 9/3/17; follow up on whether this was returned</v>
      </c>
      <c r="M854" s="12"/>
      <c r="N854" s="12" t="str">
        <f ca="1">IFERROR(__xludf.DUMMYFUNCTION("""COMPUTED_VALUE"""),"Table2")</f>
        <v>Table2</v>
      </c>
    </row>
    <row r="855" spans="1:14" ht="15.75" customHeight="1" x14ac:dyDescent="0.35">
      <c r="A855" s="12"/>
      <c r="B855" s="12"/>
      <c r="C855" s="12" t="str">
        <f ca="1">IFERROR(__xludf.DUMMYFUNCTION("""COMPUTED_VALUE"""),"Bonhoeffer: Agent of Grace")</f>
        <v>Bonhoeffer: Agent of Grace</v>
      </c>
      <c r="D855" s="12"/>
      <c r="E855" s="12" t="str">
        <f ca="1">IFERROR(__xludf.DUMMYFUNCTION("""COMPUTED_VALUE"""),"DVD")</f>
        <v>DVD</v>
      </c>
      <c r="F855" s="12"/>
      <c r="G855" s="12"/>
      <c r="H855" s="12"/>
      <c r="I855" s="12"/>
      <c r="J855" s="12"/>
      <c r="K855" s="13">
        <f ca="1">IFERROR(__xludf.DUMMYFUNCTION("""COMPUTED_VALUE"""),42019)</f>
        <v>42019</v>
      </c>
      <c r="L855" s="12" t="str">
        <f ca="1">IFERROR(__xludf.DUMMYFUNCTION("""COMPUTED_VALUE"""),"Checked out on 9/3/17; follow up on whether this was returned")</f>
        <v>Checked out on 9/3/17; follow up on whether this was returned</v>
      </c>
      <c r="M855" s="12"/>
      <c r="N855" s="12" t="str">
        <f ca="1">IFERROR(__xludf.DUMMYFUNCTION("""COMPUTED_VALUE"""),"Table2")</f>
        <v>Table2</v>
      </c>
    </row>
    <row r="856" spans="1:14" ht="15.75" customHeight="1" x14ac:dyDescent="0.35">
      <c r="A856" s="12"/>
      <c r="B856" s="12"/>
      <c r="C856" s="12" t="str">
        <f ca="1">IFERROR(__xludf.DUMMYFUNCTION("""COMPUTED_VALUE"""),"C.H. Spurgeon")</f>
        <v>C.H. Spurgeon</v>
      </c>
      <c r="D856" s="12"/>
      <c r="E856" s="12" t="str">
        <f ca="1">IFERROR(__xludf.DUMMYFUNCTION("""COMPUTED_VALUE"""),"DVD")</f>
        <v>DVD</v>
      </c>
      <c r="F856" s="12"/>
      <c r="G856" s="12"/>
      <c r="H856" s="12"/>
      <c r="I856" s="12"/>
      <c r="J856" s="12"/>
      <c r="K856" s="13">
        <f ca="1">IFERROR(__xludf.DUMMYFUNCTION("""COMPUTED_VALUE"""),40705)</f>
        <v>40705</v>
      </c>
      <c r="L856" s="12" t="str">
        <f ca="1">IFERROR(__xludf.DUMMYFUNCTION("""COMPUTED_VALUE"""),"Checked out on 5/30/18; follow up on whether this was returned")</f>
        <v>Checked out on 5/30/18; follow up on whether this was returned</v>
      </c>
      <c r="M856" s="12"/>
      <c r="N856" s="12" t="str">
        <f ca="1">IFERROR(__xludf.DUMMYFUNCTION("""COMPUTED_VALUE"""),"Table2")</f>
        <v>Table2</v>
      </c>
    </row>
    <row r="857" spans="1:14" ht="15.75" customHeight="1" x14ac:dyDescent="0.35">
      <c r="A857" s="12"/>
      <c r="B857" s="12"/>
      <c r="C857" s="12" t="str">
        <f ca="1">IFERROR(__xludf.DUMMYFUNCTION("""COMPUTED_VALUE"""),"C.S. Lewis through the Shadowlands")</f>
        <v>C.S. Lewis through the Shadowlands</v>
      </c>
      <c r="D857" s="12"/>
      <c r="E857" s="12" t="str">
        <f ca="1">IFERROR(__xludf.DUMMYFUNCTION("""COMPUTED_VALUE"""),"DVD")</f>
        <v>DVD</v>
      </c>
      <c r="F857" s="12"/>
      <c r="G857" s="12"/>
      <c r="H857" s="12"/>
      <c r="I857" s="12"/>
      <c r="J857" s="12"/>
      <c r="K857" s="13">
        <f ca="1">IFERROR(__xludf.DUMMYFUNCTION("""COMPUTED_VALUE"""),42019)</f>
        <v>42019</v>
      </c>
      <c r="L857" s="12"/>
      <c r="M857" s="12"/>
      <c r="N857" s="12" t="str">
        <f ca="1">IFERROR(__xludf.DUMMYFUNCTION("""COMPUTED_VALUE"""),"Table2")</f>
        <v>Table2</v>
      </c>
    </row>
    <row r="858" spans="1:14" ht="15.75" customHeight="1" x14ac:dyDescent="0.35">
      <c r="A858" s="12"/>
      <c r="B858" s="12"/>
      <c r="C858" s="12" t="str">
        <f ca="1">IFERROR(__xludf.DUMMYFUNCTION("""COMPUTED_VALUE"""),"C.T. Studd: Gifted Athlete Pioneering Missionary")</f>
        <v>C.T. Studd: Gifted Athlete Pioneering Missionary</v>
      </c>
      <c r="D858" s="12"/>
      <c r="E858" s="12" t="str">
        <f ca="1">IFERROR(__xludf.DUMMYFUNCTION("""COMPUTED_VALUE"""),"DVD")</f>
        <v>DVD</v>
      </c>
      <c r="F858" s="12"/>
      <c r="G858" s="12"/>
      <c r="H858" s="12"/>
      <c r="I858" s="12"/>
      <c r="J858" s="12"/>
      <c r="K858" s="13">
        <f ca="1">IFERROR(__xludf.DUMMYFUNCTION("""COMPUTED_VALUE"""),44578)</f>
        <v>44578</v>
      </c>
      <c r="L858" s="12"/>
      <c r="M858" s="12"/>
      <c r="N858" s="12" t="str">
        <f ca="1">IFERROR(__xludf.DUMMYFUNCTION("""COMPUTED_VALUE"""),"Table2")</f>
        <v>Table2</v>
      </c>
    </row>
    <row r="859" spans="1:14" ht="15.75" customHeight="1" x14ac:dyDescent="0.35">
      <c r="A859" s="12"/>
      <c r="B859" s="12"/>
      <c r="C859" s="12" t="str">
        <f ca="1">IFERROR(__xludf.DUMMYFUNCTION("""COMPUTED_VALUE"""),"Calvin, Zwingli, and Brother Klaus")</f>
        <v>Calvin, Zwingli, and Brother Klaus</v>
      </c>
      <c r="D859" s="12"/>
      <c r="E859" s="12" t="str">
        <f ca="1">IFERROR(__xludf.DUMMYFUNCTION("""COMPUTED_VALUE"""),"DVD")</f>
        <v>DVD</v>
      </c>
      <c r="F859" s="12"/>
      <c r="G859" s="12"/>
      <c r="H859" s="12"/>
      <c r="I859" s="12"/>
      <c r="J859" s="12"/>
      <c r="K859" s="13">
        <f ca="1">IFERROR(__xludf.DUMMYFUNCTION("""COMPUTED_VALUE"""),44578)</f>
        <v>44578</v>
      </c>
      <c r="L859" s="12"/>
      <c r="M859" s="12" t="str">
        <f ca="1">IFERROR(__xludf.DUMMYFUNCTION("""COMPUTED_VALUE"""),"Shapers of the Faith")</f>
        <v>Shapers of the Faith</v>
      </c>
      <c r="N859" s="12" t="str">
        <f ca="1">IFERROR(__xludf.DUMMYFUNCTION("""COMPUTED_VALUE"""),"Table2")</f>
        <v>Table2</v>
      </c>
    </row>
    <row r="860" spans="1:14" ht="15.75" customHeight="1" x14ac:dyDescent="0.35">
      <c r="A860" s="12"/>
      <c r="B860" s="12"/>
      <c r="C860" s="12" t="str">
        <f ca="1">IFERROR(__xludf.DUMMYFUNCTION("""COMPUTED_VALUE"""),"Candle in the Dark")</f>
        <v>Candle in the Dark</v>
      </c>
      <c r="D860" s="12"/>
      <c r="E860" s="12" t="str">
        <f ca="1">IFERROR(__xludf.DUMMYFUNCTION("""COMPUTED_VALUE"""),"DVD")</f>
        <v>DVD</v>
      </c>
      <c r="F860" s="12"/>
      <c r="G860" s="12"/>
      <c r="H860" s="12"/>
      <c r="I860" s="12"/>
      <c r="J860" s="12"/>
      <c r="K860" s="13">
        <f ca="1">IFERROR(__xludf.DUMMYFUNCTION("""COMPUTED_VALUE"""),40052)</f>
        <v>40052</v>
      </c>
      <c r="L860" s="12"/>
      <c r="M860" s="12"/>
      <c r="N860" s="12" t="str">
        <f ca="1">IFERROR(__xludf.DUMMYFUNCTION("""COMPUTED_VALUE"""),"Table2")</f>
        <v>Table2</v>
      </c>
    </row>
    <row r="861" spans="1:14" ht="15.75" customHeight="1" x14ac:dyDescent="0.35">
      <c r="A861" s="12"/>
      <c r="B861" s="12"/>
      <c r="C861" s="12" t="str">
        <f ca="1">IFERROR(__xludf.DUMMYFUNCTION("""COMPUTED_VALUE"""),"Carl Henry &amp; Kenneth Kantzer")</f>
        <v>Carl Henry &amp; Kenneth Kantzer</v>
      </c>
      <c r="D861" s="12"/>
      <c r="E861" s="12" t="str">
        <f ca="1">IFERROR(__xludf.DUMMYFUNCTION("""COMPUTED_VALUE"""),"DVD")</f>
        <v>DVD</v>
      </c>
      <c r="F861" s="12"/>
      <c r="G861" s="12"/>
      <c r="H861" s="12"/>
      <c r="I861" s="12"/>
      <c r="J861" s="12"/>
      <c r="K861" s="13">
        <f ca="1">IFERROR(__xludf.DUMMYFUNCTION("""COMPUTED_VALUE"""),41122)</f>
        <v>41122</v>
      </c>
      <c r="L861" s="12"/>
      <c r="M861" s="12" t="str">
        <f ca="1">IFERROR(__xludf.DUMMYFUNCTION("""COMPUTED_VALUE"""),"Christian Catalyst Collection")</f>
        <v>Christian Catalyst Collection</v>
      </c>
      <c r="N861" s="12" t="str">
        <f ca="1">IFERROR(__xludf.DUMMYFUNCTION("""COMPUTED_VALUE"""),"Table2")</f>
        <v>Table2</v>
      </c>
    </row>
    <row r="862" spans="1:14" ht="15.75" customHeight="1" x14ac:dyDescent="0.35">
      <c r="A862" s="12"/>
      <c r="B862" s="12"/>
      <c r="C862" s="12" t="str">
        <f ca="1">IFERROR(__xludf.DUMMYFUNCTION("""COMPUTED_VALUE"""),"The Case for Christ")</f>
        <v>The Case for Christ</v>
      </c>
      <c r="D862" s="12"/>
      <c r="E862" s="12" t="str">
        <f ca="1">IFERROR(__xludf.DUMMYFUNCTION("""COMPUTED_VALUE"""),"DVD")</f>
        <v>DVD</v>
      </c>
      <c r="F862" s="12"/>
      <c r="G862" s="12"/>
      <c r="H862" s="12"/>
      <c r="I862" s="12"/>
      <c r="J862" s="12"/>
      <c r="K862" s="13">
        <f ca="1">IFERROR(__xludf.DUMMYFUNCTION("""COMPUTED_VALUE"""),43100)</f>
        <v>43100</v>
      </c>
      <c r="L862" s="12"/>
      <c r="M862" s="12"/>
      <c r="N862" s="12" t="str">
        <f ca="1">IFERROR(__xludf.DUMMYFUNCTION("""COMPUTED_VALUE"""),"Table2")</f>
        <v>Table2</v>
      </c>
    </row>
    <row r="863" spans="1:14" ht="15.75" customHeight="1" x14ac:dyDescent="0.35">
      <c r="A863" s="12"/>
      <c r="B863" s="12"/>
      <c r="C863" s="12" t="str">
        <f ca="1">IFERROR(__xludf.DUMMYFUNCTION("""COMPUTED_VALUE"""),"Chariots of Fire")</f>
        <v>Chariots of Fire</v>
      </c>
      <c r="D863" s="12"/>
      <c r="E863" s="12" t="str">
        <f ca="1">IFERROR(__xludf.DUMMYFUNCTION("""COMPUTED_VALUE"""),"DVD")</f>
        <v>DVD</v>
      </c>
      <c r="F863" s="12"/>
      <c r="G863" s="12"/>
      <c r="H863" s="12"/>
      <c r="I863" s="12"/>
      <c r="J863" s="12"/>
      <c r="K863" s="13">
        <f ca="1">IFERROR(__xludf.DUMMYFUNCTION("""COMPUTED_VALUE"""),40188)</f>
        <v>40188</v>
      </c>
      <c r="L863" s="12"/>
      <c r="M863" s="12"/>
      <c r="N863" s="12" t="str">
        <f ca="1">IFERROR(__xludf.DUMMYFUNCTION("""COMPUTED_VALUE"""),"Table2")</f>
        <v>Table2</v>
      </c>
    </row>
    <row r="864" spans="1:14" ht="15.75" customHeight="1" x14ac:dyDescent="0.35">
      <c r="A864" s="12"/>
      <c r="B864" s="12"/>
      <c r="C864" s="12" t="str">
        <f ca="1">IFERROR(__xludf.DUMMYFUNCTION("""COMPUTED_VALUE"""),"Charles Wesley: Hymns of Praise")</f>
        <v>Charles Wesley: Hymns of Praise</v>
      </c>
      <c r="D864" s="12"/>
      <c r="E864" s="12" t="str">
        <f ca="1">IFERROR(__xludf.DUMMYFUNCTION("""COMPUTED_VALUE"""),"DVD")</f>
        <v>DVD</v>
      </c>
      <c r="F864" s="12"/>
      <c r="G864" s="12"/>
      <c r="H864" s="12"/>
      <c r="I864" s="12"/>
      <c r="J864" s="12"/>
      <c r="K864" s="13">
        <f ca="1">IFERROR(__xludf.DUMMYFUNCTION("""COMPUTED_VALUE"""),40188)</f>
        <v>40188</v>
      </c>
      <c r="L864" s="12"/>
      <c r="M864" s="12"/>
      <c r="N864" s="12" t="str">
        <f ca="1">IFERROR(__xludf.DUMMYFUNCTION("""COMPUTED_VALUE"""),"Table2")</f>
        <v>Table2</v>
      </c>
    </row>
    <row r="865" spans="1:14" ht="15.75" customHeight="1" x14ac:dyDescent="0.35">
      <c r="A865" s="12"/>
      <c r="B865" s="12"/>
      <c r="C865" s="12" t="str">
        <f ca="1">IFERROR(__xludf.DUMMYFUNCTION("""COMPUTED_VALUE"""),"Choosing My Religion")</f>
        <v>Choosing My Religion</v>
      </c>
      <c r="D865" s="12"/>
      <c r="E865" s="12" t="str">
        <f ca="1">IFERROR(__xludf.DUMMYFUNCTION("""COMPUTED_VALUE"""),"DVD")</f>
        <v>DVD</v>
      </c>
      <c r="F865" s="12"/>
      <c r="G865" s="12"/>
      <c r="H865" s="12"/>
      <c r="I865" s="12"/>
      <c r="J865" s="12"/>
      <c r="K865" s="13">
        <f ca="1">IFERROR(__xludf.DUMMYFUNCTION("""COMPUTED_VALUE"""),42675)</f>
        <v>42675</v>
      </c>
      <c r="L865" s="12"/>
      <c r="M865" s="12" t="str">
        <f ca="1">IFERROR(__xludf.DUMMYFUNCTION("""COMPUTED_VALUE"""),"Sproul, R.C.")</f>
        <v>Sproul, R.C.</v>
      </c>
      <c r="N865" s="12" t="str">
        <f ca="1">IFERROR(__xludf.DUMMYFUNCTION("""COMPUTED_VALUE"""),"Table2")</f>
        <v>Table2</v>
      </c>
    </row>
    <row r="866" spans="1:14" ht="15.75" customHeight="1" x14ac:dyDescent="0.35">
      <c r="A866" s="12"/>
      <c r="B866" s="12"/>
      <c r="C866" s="12" t="str">
        <f ca="1">IFERROR(__xludf.DUMMYFUNCTION("""COMPUTED_VALUE"""),"Chosen by God")</f>
        <v>Chosen by God</v>
      </c>
      <c r="D866" s="12"/>
      <c r="E866" s="12" t="str">
        <f ca="1">IFERROR(__xludf.DUMMYFUNCTION("""COMPUTED_VALUE"""),"DVD")</f>
        <v>DVD</v>
      </c>
      <c r="F866" s="12"/>
      <c r="G866" s="12"/>
      <c r="H866" s="12"/>
      <c r="I866" s="12"/>
      <c r="J866" s="12"/>
      <c r="K866" s="13">
        <f ca="1">IFERROR(__xludf.DUMMYFUNCTION("""COMPUTED_VALUE"""),41684)</f>
        <v>41684</v>
      </c>
      <c r="L866" s="12"/>
      <c r="M866" s="12" t="str">
        <f ca="1">IFERROR(__xludf.DUMMYFUNCTION("""COMPUTED_VALUE"""),"Sproul, R.C.")</f>
        <v>Sproul, R.C.</v>
      </c>
      <c r="N866" s="12" t="str">
        <f ca="1">IFERROR(__xludf.DUMMYFUNCTION("""COMPUTED_VALUE"""),"Table2")</f>
        <v>Table2</v>
      </c>
    </row>
    <row r="867" spans="1:14" ht="15.75" customHeight="1" x14ac:dyDescent="0.35">
      <c r="A867" s="12"/>
      <c r="B867" s="12"/>
      <c r="C867" s="12" t="str">
        <f ca="1">IFERROR(__xludf.DUMMYFUNCTION("""COMPUTED_VALUE"""),"Christian Catalyst: John Stott")</f>
        <v>Christian Catalyst: John Stott</v>
      </c>
      <c r="D867" s="12"/>
      <c r="E867" s="12" t="str">
        <f ca="1">IFERROR(__xludf.DUMMYFUNCTION("""COMPUTED_VALUE"""),"DVD")</f>
        <v>DVD</v>
      </c>
      <c r="F867" s="12"/>
      <c r="G867" s="12"/>
      <c r="H867" s="12"/>
      <c r="I867" s="12"/>
      <c r="J867" s="12"/>
      <c r="K867" s="13">
        <f ca="1">IFERROR(__xludf.DUMMYFUNCTION("""COMPUTED_VALUE"""),41122)</f>
        <v>41122</v>
      </c>
      <c r="L867" s="12"/>
      <c r="M867" s="12"/>
      <c r="N867" s="12" t="str">
        <f ca="1">IFERROR(__xludf.DUMMYFUNCTION("""COMPUTED_VALUE"""),"Table2")</f>
        <v>Table2</v>
      </c>
    </row>
    <row r="868" spans="1:14" ht="15.75" customHeight="1" x14ac:dyDescent="0.35">
      <c r="A868" s="12"/>
      <c r="B868" s="12"/>
      <c r="C868" s="12" t="str">
        <f ca="1">IFERROR(__xludf.DUMMYFUNCTION("""COMPUTED_VALUE"""),"Christianity and Islam")</f>
        <v>Christianity and Islam</v>
      </c>
      <c r="D868" s="12"/>
      <c r="E868" s="12" t="str">
        <f ca="1">IFERROR(__xludf.DUMMYFUNCTION("""COMPUTED_VALUE"""),"DVD")</f>
        <v>DVD</v>
      </c>
      <c r="F868" s="12"/>
      <c r="G868" s="12"/>
      <c r="H868" s="12"/>
      <c r="I868" s="12"/>
      <c r="J868" s="12"/>
      <c r="K868" s="13">
        <f ca="1">IFERROR(__xludf.DUMMYFUNCTION("""COMPUTED_VALUE"""),41346)</f>
        <v>41346</v>
      </c>
      <c r="L868" s="12"/>
      <c r="M868" s="12"/>
      <c r="N868" s="12" t="str">
        <f ca="1">IFERROR(__xludf.DUMMYFUNCTION("""COMPUTED_VALUE"""),"Table2")</f>
        <v>Table2</v>
      </c>
    </row>
    <row r="869" spans="1:14" ht="15.75" customHeight="1" x14ac:dyDescent="0.35">
      <c r="A869" s="12"/>
      <c r="B869" s="12"/>
      <c r="C869" s="12" t="str">
        <f ca="1">IFERROR(__xludf.DUMMYFUNCTION("""COMPUTED_VALUE"""),"The Climb")</f>
        <v>The Climb</v>
      </c>
      <c r="D869" s="12"/>
      <c r="E869" s="12" t="str">
        <f ca="1">IFERROR(__xludf.DUMMYFUNCTION("""COMPUTED_VALUE"""),"DVD")</f>
        <v>DVD</v>
      </c>
      <c r="F869" s="12"/>
      <c r="G869" s="12"/>
      <c r="H869" s="12"/>
      <c r="I869" s="12"/>
      <c r="J869" s="12"/>
      <c r="K869" s="13"/>
      <c r="L869" s="12"/>
      <c r="M869" s="12"/>
      <c r="N869" s="12" t="str">
        <f ca="1">IFERROR(__xludf.DUMMYFUNCTION("""COMPUTED_VALUE"""),"Table2")</f>
        <v>Table2</v>
      </c>
    </row>
    <row r="870" spans="1:14" ht="15.75" customHeight="1" x14ac:dyDescent="0.35">
      <c r="A870" s="12"/>
      <c r="B870" s="12"/>
      <c r="C870" s="12" t="str">
        <f ca="1">IFERROR(__xludf.DUMMYFUNCTION("""COMPUTED_VALUE"""),"Come Follow Me: The Ultimate Journey")</f>
        <v>Come Follow Me: The Ultimate Journey</v>
      </c>
      <c r="D870" s="12"/>
      <c r="E870" s="12" t="str">
        <f ca="1">IFERROR(__xludf.DUMMYFUNCTION("""COMPUTED_VALUE"""),"DVD")</f>
        <v>DVD</v>
      </c>
      <c r="F870" s="12"/>
      <c r="G870" s="12"/>
      <c r="H870" s="12"/>
      <c r="I870" s="12"/>
      <c r="J870" s="12"/>
      <c r="K870" s="13">
        <f ca="1">IFERROR(__xludf.DUMMYFUNCTION("""COMPUTED_VALUE"""),42019)</f>
        <v>42019</v>
      </c>
      <c r="L870" s="12"/>
      <c r="M870" s="12"/>
      <c r="N870" s="12" t="str">
        <f ca="1">IFERROR(__xludf.DUMMYFUNCTION("""COMPUTED_VALUE"""),"Table2")</f>
        <v>Table2</v>
      </c>
    </row>
    <row r="871" spans="1:14" ht="15.75" customHeight="1" x14ac:dyDescent="0.35">
      <c r="A871" s="12"/>
      <c r="B871" s="12"/>
      <c r="C871" s="12" t="str">
        <f ca="1">IFERROR(__xludf.DUMMYFUNCTION("""COMPUTED_VALUE"""),"Courageous")</f>
        <v>Courageous</v>
      </c>
      <c r="D871" s="12"/>
      <c r="E871" s="12" t="str">
        <f ca="1">IFERROR(__xludf.DUMMYFUNCTION("""COMPUTED_VALUE"""),"DVD")</f>
        <v>DVD</v>
      </c>
      <c r="F871" s="12"/>
      <c r="G871" s="12"/>
      <c r="H871" s="12"/>
      <c r="I871" s="12"/>
      <c r="J871" s="12"/>
      <c r="K871" s="13">
        <f ca="1">IFERROR(__xludf.DUMMYFUNCTION("""COMPUTED_VALUE"""),40909)</f>
        <v>40909</v>
      </c>
      <c r="L871" s="12"/>
      <c r="M871" s="12"/>
      <c r="N871" s="12" t="str">
        <f ca="1">IFERROR(__xludf.DUMMYFUNCTION("""COMPUTED_VALUE"""),"Table2")</f>
        <v>Table2</v>
      </c>
    </row>
    <row r="872" spans="1:14" ht="15.75" customHeight="1" x14ac:dyDescent="0.35">
      <c r="A872" s="12"/>
      <c r="B872" s="12"/>
      <c r="C872" s="12" t="str">
        <f ca="1">IFERROR(__xludf.DUMMYFUNCTION("""COMPUTED_VALUE"""),"Cross and the Switchblade")</f>
        <v>Cross and the Switchblade</v>
      </c>
      <c r="D872" s="12"/>
      <c r="E872" s="12" t="str">
        <f ca="1">IFERROR(__xludf.DUMMYFUNCTION("""COMPUTED_VALUE"""),"DVD")</f>
        <v>DVD</v>
      </c>
      <c r="F872" s="12"/>
      <c r="G872" s="12"/>
      <c r="H872" s="12"/>
      <c r="I872" s="12"/>
      <c r="J872" s="12"/>
      <c r="K872" s="13">
        <f ca="1">IFERROR(__xludf.DUMMYFUNCTION("""COMPUTED_VALUE"""),40827)</f>
        <v>40827</v>
      </c>
      <c r="L872" s="12" t="str">
        <f ca="1">IFERROR(__xludf.DUMMYFUNCTION("""COMPUTED_VALUE"""),"Checked out on 6/6/18; follow up on whether this was returned")</f>
        <v>Checked out on 6/6/18; follow up on whether this was returned</v>
      </c>
      <c r="M872" s="12"/>
      <c r="N872" s="12" t="str">
        <f ca="1">IFERROR(__xludf.DUMMYFUNCTION("""COMPUTED_VALUE"""),"Table2")</f>
        <v>Table2</v>
      </c>
    </row>
    <row r="873" spans="1:14" ht="15.75" customHeight="1" x14ac:dyDescent="0.35">
      <c r="A873" s="12"/>
      <c r="B873" s="12"/>
      <c r="C873" s="12" t="str">
        <f ca="1">IFERROR(__xludf.DUMMYFUNCTION("""COMPUTED_VALUE"""),"Cry from the Mountain")</f>
        <v>Cry from the Mountain</v>
      </c>
      <c r="D873" s="12"/>
      <c r="E873" s="12" t="str">
        <f ca="1">IFERROR(__xludf.DUMMYFUNCTION("""COMPUTED_VALUE"""),"DVD")</f>
        <v>DVD</v>
      </c>
      <c r="F873" s="12"/>
      <c r="G873" s="12"/>
      <c r="H873" s="12"/>
      <c r="I873" s="12"/>
      <c r="J873" s="12"/>
      <c r="K873" s="13"/>
      <c r="L873" s="12"/>
      <c r="M873" s="12"/>
      <c r="N873" s="12" t="str">
        <f ca="1">IFERROR(__xludf.DUMMYFUNCTION("""COMPUTED_VALUE"""),"Table2")</f>
        <v>Table2</v>
      </c>
    </row>
    <row r="874" spans="1:14" ht="15.75" customHeight="1" x14ac:dyDescent="0.35">
      <c r="A874" s="12"/>
      <c r="B874" s="12"/>
      <c r="C874" s="12" t="str">
        <f ca="1">IFERROR(__xludf.DUMMYFUNCTION("""COMPUTED_VALUE"""),"David Brainerd: Missionary to the American Indians")</f>
        <v>David Brainerd: Missionary to the American Indians</v>
      </c>
      <c r="D874" s="12"/>
      <c r="E874" s="12" t="str">
        <f ca="1">IFERROR(__xludf.DUMMYFUNCTION("""COMPUTED_VALUE"""),"DVD")</f>
        <v>DVD</v>
      </c>
      <c r="F874" s="12"/>
      <c r="G874" s="12"/>
      <c r="H874" s="12"/>
      <c r="I874" s="12"/>
      <c r="J874" s="12"/>
      <c r="K874" s="13">
        <f ca="1">IFERROR(__xludf.DUMMYFUNCTION("""COMPUTED_VALUE"""),44578)</f>
        <v>44578</v>
      </c>
      <c r="L874" s="12"/>
      <c r="M874" s="12"/>
      <c r="N874" s="12" t="str">
        <f ca="1">IFERROR(__xludf.DUMMYFUNCTION("""COMPUTED_VALUE"""),"Table2")</f>
        <v>Table2</v>
      </c>
    </row>
    <row r="875" spans="1:14" ht="15.75" customHeight="1" x14ac:dyDescent="0.35">
      <c r="A875" s="12"/>
      <c r="B875" s="12"/>
      <c r="C875" s="12" t="str">
        <f ca="1">IFERROR(__xludf.DUMMYFUNCTION("""COMPUTED_VALUE"""),"The Deliberate Church: Building Your Ministry on the Gospel")</f>
        <v>The Deliberate Church: Building Your Ministry on the Gospel</v>
      </c>
      <c r="D875" s="12"/>
      <c r="E875" s="12" t="str">
        <f ca="1">IFERROR(__xludf.DUMMYFUNCTION("""COMPUTED_VALUE"""),"DVD")</f>
        <v>DVD</v>
      </c>
      <c r="F875" s="12"/>
      <c r="G875" s="12"/>
      <c r="H875" s="12"/>
      <c r="I875" s="12"/>
      <c r="J875" s="12"/>
      <c r="K875" s="13"/>
      <c r="L875" s="12"/>
      <c r="M875" s="12" t="str">
        <f ca="1">IFERROR(__xludf.DUMMYFUNCTION("""COMPUTED_VALUE"""),"Dever, Mark; Alexander, Paul")</f>
        <v>Dever, Mark; Alexander, Paul</v>
      </c>
      <c r="N875" s="12" t="str">
        <f ca="1">IFERROR(__xludf.DUMMYFUNCTION("""COMPUTED_VALUE"""),"Table2")</f>
        <v>Table2</v>
      </c>
    </row>
    <row r="876" spans="1:14" ht="15.75" customHeight="1" x14ac:dyDescent="0.35">
      <c r="A876" s="12"/>
      <c r="B876" s="12"/>
      <c r="C876" s="12" t="str">
        <f ca="1">IFERROR(__xludf.DUMMYFUNCTION("""COMPUTED_VALUE"""),"Desiring God")</f>
        <v>Desiring God</v>
      </c>
      <c r="D876" s="12"/>
      <c r="E876" s="12" t="str">
        <f ca="1">IFERROR(__xludf.DUMMYFUNCTION("""COMPUTED_VALUE"""),"DVD")</f>
        <v>DVD</v>
      </c>
      <c r="F876" s="12"/>
      <c r="G876" s="12"/>
      <c r="H876" s="12"/>
      <c r="I876" s="12"/>
      <c r="J876" s="12"/>
      <c r="K876" s="13"/>
      <c r="L876" s="12"/>
      <c r="M876" s="12" t="str">
        <f ca="1">IFERROR(__xludf.DUMMYFUNCTION("""COMPUTED_VALUE"""),"Piper, John")</f>
        <v>Piper, John</v>
      </c>
      <c r="N876" s="12" t="str">
        <f ca="1">IFERROR(__xludf.DUMMYFUNCTION("""COMPUTED_VALUE"""),"Table2")</f>
        <v>Table2</v>
      </c>
    </row>
    <row r="877" spans="1:14" ht="15.75" customHeight="1" x14ac:dyDescent="0.35">
      <c r="A877" s="12"/>
      <c r="B877" s="12"/>
      <c r="C877" s="12" t="str">
        <f ca="1">IFERROR(__xludf.DUMMYFUNCTION("""COMPUTED_VALUE"""),"Don't Waste Your Life")</f>
        <v>Don't Waste Your Life</v>
      </c>
      <c r="D877" s="12"/>
      <c r="E877" s="12" t="str">
        <f ca="1">IFERROR(__xludf.DUMMYFUNCTION("""COMPUTED_VALUE"""),"DVD")</f>
        <v>DVD</v>
      </c>
      <c r="F877" s="12"/>
      <c r="G877" s="12"/>
      <c r="H877" s="12"/>
      <c r="I877" s="12"/>
      <c r="J877" s="12"/>
      <c r="K877" s="13">
        <f ca="1">IFERROR(__xludf.DUMMYFUNCTION("""COMPUTED_VALUE"""),40026)</f>
        <v>40026</v>
      </c>
      <c r="L877" s="12"/>
      <c r="M877" s="12" t="str">
        <f ca="1">IFERROR(__xludf.DUMMYFUNCTION("""COMPUTED_VALUE"""),"Piper, John")</f>
        <v>Piper, John</v>
      </c>
      <c r="N877" s="12" t="str">
        <f ca="1">IFERROR(__xludf.DUMMYFUNCTION("""COMPUTED_VALUE"""),"Table2")</f>
        <v>Table2</v>
      </c>
    </row>
    <row r="878" spans="1:14" ht="15.75" customHeight="1" x14ac:dyDescent="0.35">
      <c r="A878" s="12"/>
      <c r="B878" s="12"/>
      <c r="C878" s="12" t="str">
        <f ca="1">IFERROR(__xludf.DUMMYFUNCTION("""COMPUTED_VALUE"""),"Episode 1:  Islands on the Edge")</f>
        <v>Episode 1:  Islands on the Edge</v>
      </c>
      <c r="D878" s="12"/>
      <c r="E878" s="12" t="str">
        <f ca="1">IFERROR(__xludf.DUMMYFUNCTION("""COMPUTED_VALUE"""),"DVD")</f>
        <v>DVD</v>
      </c>
      <c r="F878" s="12"/>
      <c r="G878" s="12"/>
      <c r="H878" s="12"/>
      <c r="I878" s="12"/>
      <c r="J878" s="12"/>
      <c r="K878" s="13">
        <f ca="1">IFERROR(__xludf.DUMMYFUNCTION("""COMPUTED_VALUE"""),41133)</f>
        <v>41133</v>
      </c>
      <c r="L878" s="12"/>
      <c r="M878" s="12" t="str">
        <f ca="1">IFERROR(__xludf.DUMMYFUNCTION("""COMPUTED_VALUE"""),"Dispatches from the Front")</f>
        <v>Dispatches from the Front</v>
      </c>
      <c r="N878" s="12" t="str">
        <f ca="1">IFERROR(__xludf.DUMMYFUNCTION("""COMPUTED_VALUE"""),"Table2")</f>
        <v>Table2</v>
      </c>
    </row>
    <row r="879" spans="1:14" ht="15.75" customHeight="1" x14ac:dyDescent="0.35">
      <c r="A879" s="12"/>
      <c r="B879" s="12"/>
      <c r="C879" s="12" t="str">
        <f ca="1">IFERROR(__xludf.DUMMYFUNCTION("""COMPUTED_VALUE"""),"Episode 2: A Bold Advance")</f>
        <v>Episode 2: A Bold Advance</v>
      </c>
      <c r="D879" s="12"/>
      <c r="E879" s="12" t="str">
        <f ca="1">IFERROR(__xludf.DUMMYFUNCTION("""COMPUTED_VALUE"""),"DVD")</f>
        <v>DVD</v>
      </c>
      <c r="F879" s="12"/>
      <c r="G879" s="12"/>
      <c r="H879" s="12"/>
      <c r="I879" s="12"/>
      <c r="J879" s="12"/>
      <c r="K879" s="13">
        <f ca="1">IFERROR(__xludf.DUMMYFUNCTION("""COMPUTED_VALUE"""),40827)</f>
        <v>40827</v>
      </c>
      <c r="L879" s="12" t="str">
        <f ca="1">IFERROR(__xludf.DUMMYFUNCTION("""COMPUTED_VALUE"""),"2 copies")</f>
        <v>2 copies</v>
      </c>
      <c r="M879" s="12" t="str">
        <f ca="1">IFERROR(__xludf.DUMMYFUNCTION("""COMPUTED_VALUE"""),"Dispatches from the Front")</f>
        <v>Dispatches from the Front</v>
      </c>
      <c r="N879" s="12" t="str">
        <f ca="1">IFERROR(__xludf.DUMMYFUNCTION("""COMPUTED_VALUE"""),"Table2")</f>
        <v>Table2</v>
      </c>
    </row>
    <row r="880" spans="1:14" ht="15.75" customHeight="1" x14ac:dyDescent="0.35">
      <c r="A880" s="12"/>
      <c r="B880" s="12"/>
      <c r="C880" s="12" t="str">
        <f ca="1">IFERROR(__xludf.DUMMYFUNCTION("""COMPUTED_VALUE"""),"Episode 3:  I Once Was Blind")</f>
        <v>Episode 3:  I Once Was Blind</v>
      </c>
      <c r="D880" s="12"/>
      <c r="E880" s="12" t="str">
        <f ca="1">IFERROR(__xludf.DUMMYFUNCTION("""COMPUTED_VALUE"""),"DVD")</f>
        <v>DVD</v>
      </c>
      <c r="F880" s="12"/>
      <c r="G880" s="12"/>
      <c r="H880" s="12"/>
      <c r="I880" s="12"/>
      <c r="J880" s="12"/>
      <c r="K880" s="13">
        <f ca="1">IFERROR(__xludf.DUMMYFUNCTION("""COMPUTED_VALUE"""),41133)</f>
        <v>41133</v>
      </c>
      <c r="L880" s="12"/>
      <c r="M880" s="12" t="str">
        <f ca="1">IFERROR(__xludf.DUMMYFUNCTION("""COMPUTED_VALUE"""),"Dispatches from the Front")</f>
        <v>Dispatches from the Front</v>
      </c>
      <c r="N880" s="12" t="str">
        <f ca="1">IFERROR(__xludf.DUMMYFUNCTION("""COMPUTED_VALUE"""),"Table2")</f>
        <v>Table2</v>
      </c>
    </row>
    <row r="881" spans="1:14" ht="15.75" customHeight="1" x14ac:dyDescent="0.35">
      <c r="A881" s="12"/>
      <c r="B881" s="12"/>
      <c r="C881" s="12" t="str">
        <f ca="1">IFERROR(__xludf.DUMMYFUNCTION("""COMPUTED_VALUE"""),"Episode 4:  Souls of the Brave")</f>
        <v>Episode 4:  Souls of the Brave</v>
      </c>
      <c r="D881" s="12"/>
      <c r="E881" s="12" t="str">
        <f ca="1">IFERROR(__xludf.DUMMYFUNCTION("""COMPUTED_VALUE"""),"DVD")</f>
        <v>DVD</v>
      </c>
      <c r="F881" s="12"/>
      <c r="G881" s="12"/>
      <c r="H881" s="12"/>
      <c r="I881" s="12"/>
      <c r="J881" s="12"/>
      <c r="K881" s="13">
        <f ca="1">IFERROR(__xludf.DUMMYFUNCTION("""COMPUTED_VALUE"""),41133)</f>
        <v>41133</v>
      </c>
      <c r="L881" s="12"/>
      <c r="M881" s="12" t="str">
        <f ca="1">IFERROR(__xludf.DUMMYFUNCTION("""COMPUTED_VALUE"""),"Dispatches from the Front")</f>
        <v>Dispatches from the Front</v>
      </c>
      <c r="N881" s="12" t="str">
        <f ca="1">IFERROR(__xludf.DUMMYFUNCTION("""COMPUTED_VALUE"""),"Table2")</f>
        <v>Table2</v>
      </c>
    </row>
    <row r="882" spans="1:14" ht="15.75" customHeight="1" x14ac:dyDescent="0.35">
      <c r="A882" s="12"/>
      <c r="B882" s="12"/>
      <c r="C882" s="12" t="str">
        <f ca="1">IFERROR(__xludf.DUMMYFUNCTION("""COMPUTED_VALUE"""),"Episode 5:  Father, Give me Bread")</f>
        <v>Episode 5:  Father, Give me Bread</v>
      </c>
      <c r="D882" s="12"/>
      <c r="E882" s="12" t="str">
        <f ca="1">IFERROR(__xludf.DUMMYFUNCTION("""COMPUTED_VALUE"""),"DVD")</f>
        <v>DVD</v>
      </c>
      <c r="F882" s="12"/>
      <c r="G882" s="12"/>
      <c r="H882" s="12"/>
      <c r="I882" s="12"/>
      <c r="J882" s="12"/>
      <c r="K882" s="13">
        <f ca="1">IFERROR(__xludf.DUMMYFUNCTION("""COMPUTED_VALUE"""),41133)</f>
        <v>41133</v>
      </c>
      <c r="L882" s="12"/>
      <c r="M882" s="12" t="str">
        <f ca="1">IFERROR(__xludf.DUMMYFUNCTION("""COMPUTED_VALUE"""),"Dispatches from the Front")</f>
        <v>Dispatches from the Front</v>
      </c>
      <c r="N882" s="12" t="str">
        <f ca="1">IFERROR(__xludf.DUMMYFUNCTION("""COMPUTED_VALUE"""),"Table2")</f>
        <v>Table2</v>
      </c>
    </row>
    <row r="883" spans="1:14" ht="15.75" customHeight="1" x14ac:dyDescent="0.35">
      <c r="A883" s="12"/>
      <c r="B883" s="12"/>
      <c r="C883" s="12" t="str">
        <f ca="1">IFERROR(__xludf.DUMMYFUNCTION("""COMPUTED_VALUE"""),"Episode 6: Power of His Rising")</f>
        <v>Episode 6: Power of His Rising</v>
      </c>
      <c r="D883" s="12"/>
      <c r="E883" s="12" t="str">
        <f ca="1">IFERROR(__xludf.DUMMYFUNCTION("""COMPUTED_VALUE"""),"DVD")</f>
        <v>DVD</v>
      </c>
      <c r="F883" s="12"/>
      <c r="G883" s="12"/>
      <c r="H883" s="12"/>
      <c r="I883" s="12"/>
      <c r="J883" s="12"/>
      <c r="K883" s="13">
        <f ca="1">IFERROR(__xludf.DUMMYFUNCTION("""COMPUTED_VALUE"""),42675)</f>
        <v>42675</v>
      </c>
      <c r="L883" s="12"/>
      <c r="M883" s="12" t="str">
        <f ca="1">IFERROR(__xludf.DUMMYFUNCTION("""COMPUTED_VALUE"""),"Dispatches from the Front")</f>
        <v>Dispatches from the Front</v>
      </c>
      <c r="N883" s="12" t="str">
        <f ca="1">IFERROR(__xludf.DUMMYFUNCTION("""COMPUTED_VALUE"""),"Table2")</f>
        <v>Table2</v>
      </c>
    </row>
    <row r="884" spans="1:14" ht="15.75" customHeight="1" x14ac:dyDescent="0.35">
      <c r="A884" s="12"/>
      <c r="B884" s="12"/>
      <c r="C884" s="12" t="str">
        <f ca="1">IFERROR(__xludf.DUMMYFUNCTION("""COMPUTED_VALUE"""),"Episode 7: Day of Battle: North Africa")</f>
        <v>Episode 7: Day of Battle: North Africa</v>
      </c>
      <c r="D884" s="12"/>
      <c r="E884" s="12" t="str">
        <f ca="1">IFERROR(__xludf.DUMMYFUNCTION("""COMPUTED_VALUE"""),"DVD")</f>
        <v>DVD</v>
      </c>
      <c r="F884" s="12"/>
      <c r="G884" s="12"/>
      <c r="H884" s="12"/>
      <c r="I884" s="12"/>
      <c r="J884" s="12"/>
      <c r="K884" s="13">
        <f ca="1">IFERROR(__xludf.DUMMYFUNCTION("""COMPUTED_VALUE"""),44578)</f>
        <v>44578</v>
      </c>
      <c r="L884" s="12"/>
      <c r="M884" s="12" t="str">
        <f ca="1">IFERROR(__xludf.DUMMYFUNCTION("""COMPUTED_VALUE"""),"Dispatches from the Front")</f>
        <v>Dispatches from the Front</v>
      </c>
      <c r="N884" s="12" t="str">
        <f ca="1">IFERROR(__xludf.DUMMYFUNCTION("""COMPUTED_VALUE"""),"Table2")</f>
        <v>Table2</v>
      </c>
    </row>
    <row r="885" spans="1:14" ht="15.75" customHeight="1" x14ac:dyDescent="0.35">
      <c r="A885" s="12"/>
      <c r="B885" s="12"/>
      <c r="C885" s="12" t="str">
        <f ca="1">IFERROR(__xludf.DUMMYFUNCTION("""COMPUTED_VALUE"""),"Episode 8: No Regrets, No Retreat: China")</f>
        <v>Episode 8: No Regrets, No Retreat: China</v>
      </c>
      <c r="D885" s="12"/>
      <c r="E885" s="12" t="str">
        <f ca="1">IFERROR(__xludf.DUMMYFUNCTION("""COMPUTED_VALUE"""),"DVD")</f>
        <v>DVD</v>
      </c>
      <c r="F885" s="12"/>
      <c r="G885" s="12"/>
      <c r="H885" s="12"/>
      <c r="I885" s="12"/>
      <c r="J885" s="12"/>
      <c r="K885" s="13">
        <f ca="1">IFERROR(__xludf.DUMMYFUNCTION("""COMPUTED_VALUE"""),44578)</f>
        <v>44578</v>
      </c>
      <c r="L885" s="12"/>
      <c r="M885" s="12" t="str">
        <f ca="1">IFERROR(__xludf.DUMMYFUNCTION("""COMPUTED_VALUE"""),"Dispatches from the Front")</f>
        <v>Dispatches from the Front</v>
      </c>
      <c r="N885" s="12" t="str">
        <f ca="1">IFERROR(__xludf.DUMMYFUNCTION("""COMPUTED_VALUE"""),"Table2")</f>
        <v>Table2</v>
      </c>
    </row>
    <row r="886" spans="1:14" ht="15.75" customHeight="1" x14ac:dyDescent="0.35">
      <c r="A886" s="12"/>
      <c r="B886" s="12"/>
      <c r="C886" s="12" t="str">
        <f ca="1">IFERROR(__xludf.DUMMYFUNCTION("""COMPUTED_VALUE"""),"Episode 9: Every Tribe: Cambodia, Laos &amp; Vietnam")</f>
        <v>Episode 9: Every Tribe: Cambodia, Laos &amp; Vietnam</v>
      </c>
      <c r="D886" s="12"/>
      <c r="E886" s="12" t="str">
        <f ca="1">IFERROR(__xludf.DUMMYFUNCTION("""COMPUTED_VALUE"""),"DVD")</f>
        <v>DVD</v>
      </c>
      <c r="F886" s="12"/>
      <c r="G886" s="12"/>
      <c r="H886" s="12"/>
      <c r="I886" s="12"/>
      <c r="J886" s="12"/>
      <c r="K886" s="13">
        <f ca="1">IFERROR(__xludf.DUMMYFUNCTION("""COMPUTED_VALUE"""),44578)</f>
        <v>44578</v>
      </c>
      <c r="L886" s="12"/>
      <c r="M886" s="12" t="str">
        <f ca="1">IFERROR(__xludf.DUMMYFUNCTION("""COMPUTED_VALUE"""),"Dispatches from the Front")</f>
        <v>Dispatches from the Front</v>
      </c>
      <c r="N886" s="12" t="str">
        <f ca="1">IFERROR(__xludf.DUMMYFUNCTION("""COMPUTED_VALUE"""),"Table2")</f>
        <v>Table2</v>
      </c>
    </row>
    <row r="887" spans="1:14" ht="15.75" customHeight="1" x14ac:dyDescent="0.35">
      <c r="A887" s="12"/>
      <c r="B887" s="12"/>
      <c r="C887" s="12" t="str">
        <f ca="1">IFERROR(__xludf.DUMMYFUNCTION("""COMPUTED_VALUE"""),"Episode 10: The Fourth Man: The Middle East")</f>
        <v>Episode 10: The Fourth Man: The Middle East</v>
      </c>
      <c r="D887" s="12"/>
      <c r="E887" s="12" t="str">
        <f ca="1">IFERROR(__xludf.DUMMYFUNCTION("""COMPUTED_VALUE"""),"DVD")</f>
        <v>DVD</v>
      </c>
      <c r="F887" s="12"/>
      <c r="G887" s="12"/>
      <c r="H887" s="12"/>
      <c r="I887" s="12"/>
      <c r="J887" s="12"/>
      <c r="K887" s="13">
        <f ca="1">IFERROR(__xludf.DUMMYFUNCTION("""COMPUTED_VALUE"""),44578)</f>
        <v>44578</v>
      </c>
      <c r="L887" s="12"/>
      <c r="M887" s="12" t="str">
        <f ca="1">IFERROR(__xludf.DUMMYFUNCTION("""COMPUTED_VALUE"""),"Dispatches from the Front")</f>
        <v>Dispatches from the Front</v>
      </c>
      <c r="N887" s="12" t="str">
        <f ca="1">IFERROR(__xludf.DUMMYFUNCTION("""COMPUTED_VALUE"""),"Table2")</f>
        <v>Table2</v>
      </c>
    </row>
    <row r="888" spans="1:14" ht="15.75" customHeight="1" x14ac:dyDescent="0.35">
      <c r="A888" s="12"/>
      <c r="B888" s="12"/>
      <c r="C888" s="12" t="str">
        <f ca="1">IFERROR(__xludf.DUMMYFUNCTION("""COMPUTED_VALUE"""),"Exploring ephesus: City of Apostles")</f>
        <v>Exploring ephesus: City of Apostles</v>
      </c>
      <c r="D888" s="12"/>
      <c r="E888" s="12" t="str">
        <f ca="1">IFERROR(__xludf.DUMMYFUNCTION("""COMPUTED_VALUE"""),"DVD")</f>
        <v>DVD</v>
      </c>
      <c r="F888" s="12"/>
      <c r="G888" s="12"/>
      <c r="H888" s="12"/>
      <c r="I888" s="12"/>
      <c r="J888" s="12"/>
      <c r="K888" s="13">
        <f ca="1">IFERROR(__xludf.DUMMYFUNCTION("""COMPUTED_VALUE"""),44578)</f>
        <v>44578</v>
      </c>
      <c r="L888" s="12"/>
      <c r="M888" s="12"/>
      <c r="N888" s="12" t="str">
        <f ca="1">IFERROR(__xludf.DUMMYFUNCTION("""COMPUTED_VALUE"""),"Table2")</f>
        <v>Table2</v>
      </c>
    </row>
    <row r="889" spans="1:14" ht="15.75" customHeight="1" x14ac:dyDescent="0.35">
      <c r="A889" s="12"/>
      <c r="B889" s="12"/>
      <c r="C889" s="12" t="str">
        <f ca="1">IFERROR(__xludf.DUMMYFUNCTION("""COMPUTED_VALUE"""),"Luke's Dispatches, Episode 1: Just as Day Was Breaking: Jerusalem")</f>
        <v>Luke's Dispatches, Episode 1: Just as Day Was Breaking: Jerusalem</v>
      </c>
      <c r="D889" s="12"/>
      <c r="E889" s="12" t="str">
        <f ca="1">IFERROR(__xludf.DUMMYFUNCTION("""COMPUTED_VALUE"""),"DVD")</f>
        <v>DVD</v>
      </c>
      <c r="F889" s="12"/>
      <c r="G889" s="12"/>
      <c r="H889" s="12"/>
      <c r="I889" s="12"/>
      <c r="J889" s="12"/>
      <c r="K889" s="13">
        <f ca="1">IFERROR(__xludf.DUMMYFUNCTION("""COMPUTED_VALUE"""),44578)</f>
        <v>44578</v>
      </c>
      <c r="L889" s="12"/>
      <c r="M889" s="12" t="str">
        <f ca="1">IFERROR(__xludf.DUMMYFUNCTION("""COMPUTED_VALUE"""),"Dispatches from the Front")</f>
        <v>Dispatches from the Front</v>
      </c>
      <c r="N889" s="12" t="str">
        <f ca="1">IFERROR(__xludf.DUMMYFUNCTION("""COMPUTED_VALUE"""),"Table2")</f>
        <v>Table2</v>
      </c>
    </row>
    <row r="890" spans="1:14" ht="15.75" customHeight="1" x14ac:dyDescent="0.35">
      <c r="A890" s="12"/>
      <c r="B890" s="12"/>
      <c r="C890" s="12" t="str">
        <f ca="1">IFERROR(__xludf.DUMMYFUNCTION("""COMPUTED_VALUE"""),"Luke's Dispatches, Episode 2: A Kingdom Without Borders: Caesarea &amp; Tyre")</f>
        <v>Luke's Dispatches, Episode 2: A Kingdom Without Borders: Caesarea &amp; Tyre</v>
      </c>
      <c r="D890" s="12"/>
      <c r="E890" s="12" t="str">
        <f ca="1">IFERROR(__xludf.DUMMYFUNCTION("""COMPUTED_VALUE"""),"DVD")</f>
        <v>DVD</v>
      </c>
      <c r="F890" s="12"/>
      <c r="G890" s="12"/>
      <c r="H890" s="12"/>
      <c r="I890" s="12"/>
      <c r="J890" s="12"/>
      <c r="K890" s="13">
        <f ca="1">IFERROR(__xludf.DUMMYFUNCTION("""COMPUTED_VALUE"""),44578)</f>
        <v>44578</v>
      </c>
      <c r="L890" s="12"/>
      <c r="M890" s="12" t="str">
        <f ca="1">IFERROR(__xludf.DUMMYFUNCTION("""COMPUTED_VALUE"""),"Dispatches from the Front")</f>
        <v>Dispatches from the Front</v>
      </c>
      <c r="N890" s="12" t="str">
        <f ca="1">IFERROR(__xludf.DUMMYFUNCTION("""COMPUTED_VALUE"""),"Table2")</f>
        <v>Table2</v>
      </c>
    </row>
    <row r="891" spans="1:14" ht="15.75" customHeight="1" x14ac:dyDescent="0.35">
      <c r="A891" s="12"/>
      <c r="B891" s="12"/>
      <c r="C891" s="12" t="str">
        <f ca="1">IFERROR(__xludf.DUMMYFUNCTION("""COMPUTED_VALUE"""),"Luke's Dispatches, Episode 3: City on a Hill: Turkey")</f>
        <v>Luke's Dispatches, Episode 3: City on a Hill: Turkey</v>
      </c>
      <c r="D891" s="12"/>
      <c r="E891" s="12" t="str">
        <f ca="1">IFERROR(__xludf.DUMMYFUNCTION("""COMPUTED_VALUE"""),"DVD")</f>
        <v>DVD</v>
      </c>
      <c r="F891" s="12"/>
      <c r="G891" s="12"/>
      <c r="H891" s="12"/>
      <c r="I891" s="12"/>
      <c r="J891" s="12"/>
      <c r="K891" s="13">
        <f ca="1">IFERROR(__xludf.DUMMYFUNCTION("""COMPUTED_VALUE"""),44578)</f>
        <v>44578</v>
      </c>
      <c r="L891" s="12"/>
      <c r="M891" s="12" t="str">
        <f ca="1">IFERROR(__xludf.DUMMYFUNCTION("""COMPUTED_VALUE"""),"Dispatches from the Front")</f>
        <v>Dispatches from the Front</v>
      </c>
      <c r="N891" s="12" t="str">
        <f ca="1">IFERROR(__xludf.DUMMYFUNCTION("""COMPUTED_VALUE"""),"Table2")</f>
        <v>Table2</v>
      </c>
    </row>
    <row r="892" spans="1:14" ht="15.75" customHeight="1" x14ac:dyDescent="0.35">
      <c r="A892" s="12"/>
      <c r="B892" s="12"/>
      <c r="C892" s="12" t="str">
        <f ca="1">IFERROR(__xludf.DUMMYFUNCTION("""COMPUTED_VALUE"""),"Luke's Dispatches, Episode 4: Radical Rescue Work: Athens")</f>
        <v>Luke's Dispatches, Episode 4: Radical Rescue Work: Athens</v>
      </c>
      <c r="D892" s="12"/>
      <c r="E892" s="12" t="str">
        <f ca="1">IFERROR(__xludf.DUMMYFUNCTION("""COMPUTED_VALUE"""),"DVD")</f>
        <v>DVD</v>
      </c>
      <c r="F892" s="12"/>
      <c r="G892" s="12"/>
      <c r="H892" s="12"/>
      <c r="I892" s="12"/>
      <c r="J892" s="12"/>
      <c r="K892" s="13">
        <f ca="1">IFERROR(__xludf.DUMMYFUNCTION("""COMPUTED_VALUE"""),44578)</f>
        <v>44578</v>
      </c>
      <c r="L892" s="12"/>
      <c r="M892" s="12" t="str">
        <f ca="1">IFERROR(__xludf.DUMMYFUNCTION("""COMPUTED_VALUE"""),"Dispatches from the Front")</f>
        <v>Dispatches from the Front</v>
      </c>
      <c r="N892" s="12" t="str">
        <f ca="1">IFERROR(__xludf.DUMMYFUNCTION("""COMPUTED_VALUE"""),"Table2")</f>
        <v>Table2</v>
      </c>
    </row>
    <row r="893" spans="1:14" ht="15.75" customHeight="1" x14ac:dyDescent="0.35">
      <c r="A893" s="12"/>
      <c r="B893" s="12"/>
      <c r="C893" s="12" t="str">
        <f ca="1">IFERROR(__xludf.DUMMYFUNCTION("""COMPUTED_VALUE"""),"Eric Liddell: Champion of  Conviction")</f>
        <v>Eric Liddell: Champion of  Conviction</v>
      </c>
      <c r="D893" s="12"/>
      <c r="E893" s="12" t="str">
        <f ca="1">IFERROR(__xludf.DUMMYFUNCTION("""COMPUTED_VALUE"""),"DVD")</f>
        <v>DVD</v>
      </c>
      <c r="F893" s="12"/>
      <c r="G893" s="12"/>
      <c r="H893" s="12"/>
      <c r="I893" s="12"/>
      <c r="J893" s="12"/>
      <c r="K893" s="13">
        <f ca="1">IFERROR(__xludf.DUMMYFUNCTION("""COMPUTED_VALUE"""),40188)</f>
        <v>40188</v>
      </c>
      <c r="L893" s="12"/>
      <c r="M893" s="12"/>
      <c r="N893" s="12" t="str">
        <f ca="1">IFERROR(__xludf.DUMMYFUNCTION("""COMPUTED_VALUE"""),"Table2")</f>
        <v>Table2</v>
      </c>
    </row>
    <row r="894" spans="1:14" ht="15.75" customHeight="1" x14ac:dyDescent="0.35">
      <c r="A894" s="12"/>
      <c r="B894" s="12"/>
      <c r="C894" s="12" t="str">
        <f ca="1">IFERROR(__xludf.DUMMYFUNCTION("""COMPUTED_VALUE"""),"Facing the Giants")</f>
        <v>Facing the Giants</v>
      </c>
      <c r="D894" s="12"/>
      <c r="E894" s="12" t="str">
        <f ca="1">IFERROR(__xludf.DUMMYFUNCTION("""COMPUTED_VALUE"""),"DVD")</f>
        <v>DVD</v>
      </c>
      <c r="F894" s="12"/>
      <c r="G894" s="12"/>
      <c r="H894" s="12"/>
      <c r="I894" s="12"/>
      <c r="J894" s="12"/>
      <c r="K894" s="13">
        <f ca="1">IFERROR(__xludf.DUMMYFUNCTION("""COMPUTED_VALUE"""),40053)</f>
        <v>40053</v>
      </c>
      <c r="L894" s="12"/>
      <c r="M894" s="12"/>
      <c r="N894" s="12" t="str">
        <f ca="1">IFERROR(__xludf.DUMMYFUNCTION("""COMPUTED_VALUE"""),"Table2")</f>
        <v>Table2</v>
      </c>
    </row>
    <row r="895" spans="1:14" ht="15.75" customHeight="1" x14ac:dyDescent="0.35">
      <c r="A895" s="12"/>
      <c r="B895" s="12"/>
      <c r="C895" s="12" t="str">
        <f ca="1">IFERROR(__xludf.DUMMYFUNCTION("""COMPUTED_VALUE"""),"The Fantasy Makers: Tolkien, Lewis, and MacDonald")</f>
        <v>The Fantasy Makers: Tolkien, Lewis, and MacDonald</v>
      </c>
      <c r="D895" s="12"/>
      <c r="E895" s="12" t="str">
        <f ca="1">IFERROR(__xludf.DUMMYFUNCTION("""COMPUTED_VALUE"""),"DVD")</f>
        <v>DVD</v>
      </c>
      <c r="F895" s="12"/>
      <c r="G895" s="12"/>
      <c r="H895" s="12"/>
      <c r="I895" s="12"/>
      <c r="J895" s="12"/>
      <c r="K895" s="13">
        <f ca="1">IFERROR(__xludf.DUMMYFUNCTION("""COMPUTED_VALUE"""),44578)</f>
        <v>44578</v>
      </c>
      <c r="L895" s="12"/>
      <c r="M895" s="12"/>
      <c r="N895" s="12" t="str">
        <f ca="1">IFERROR(__xludf.DUMMYFUNCTION("""COMPUTED_VALUE"""),"Table2")</f>
        <v>Table2</v>
      </c>
    </row>
    <row r="896" spans="1:14" ht="15.75" customHeight="1" x14ac:dyDescent="0.35">
      <c r="A896" s="12"/>
      <c r="B896" s="12"/>
      <c r="C896" s="12" t="str">
        <f ca="1">IFERROR(__xludf.DUMMYFUNCTION("""COMPUTED_VALUE"""),"Fireproof")</f>
        <v>Fireproof</v>
      </c>
      <c r="D896" s="12"/>
      <c r="E896" s="12" t="str">
        <f ca="1">IFERROR(__xludf.DUMMYFUNCTION("""COMPUTED_VALUE"""),"DVD")</f>
        <v>DVD</v>
      </c>
      <c r="F896" s="12"/>
      <c r="G896" s="12"/>
      <c r="H896" s="12"/>
      <c r="I896" s="12"/>
      <c r="J896" s="12"/>
      <c r="K896" s="13">
        <f ca="1">IFERROR(__xludf.DUMMYFUNCTION("""COMPUTED_VALUE"""),40054)</f>
        <v>40054</v>
      </c>
      <c r="L896" s="12"/>
      <c r="M896" s="12"/>
      <c r="N896" s="12" t="str">
        <f ca="1">IFERROR(__xludf.DUMMYFUNCTION("""COMPUTED_VALUE"""),"Table2")</f>
        <v>Table2</v>
      </c>
    </row>
    <row r="897" spans="1:14" ht="15.75" customHeight="1" x14ac:dyDescent="0.35">
      <c r="A897" s="12"/>
      <c r="B897" s="12"/>
      <c r="C897" s="12" t="str">
        <f ca="1">IFERROR(__xludf.DUMMYFUNCTION("""COMPUTED_VALUE"""),"Flywheel")</f>
        <v>Flywheel</v>
      </c>
      <c r="D897" s="12"/>
      <c r="E897" s="12" t="str">
        <f ca="1">IFERROR(__xludf.DUMMYFUNCTION("""COMPUTED_VALUE"""),"DVD")</f>
        <v>DVD</v>
      </c>
      <c r="F897" s="12"/>
      <c r="G897" s="12"/>
      <c r="H897" s="12"/>
      <c r="I897" s="12"/>
      <c r="J897" s="12"/>
      <c r="K897" s="13">
        <f ca="1">IFERROR(__xludf.DUMMYFUNCTION("""COMPUTED_VALUE"""),40055)</f>
        <v>40055</v>
      </c>
      <c r="L897" s="12"/>
      <c r="M897" s="12"/>
      <c r="N897" s="12" t="str">
        <f ca="1">IFERROR(__xludf.DUMMYFUNCTION("""COMPUTED_VALUE"""),"Table2")</f>
        <v>Table2</v>
      </c>
    </row>
    <row r="898" spans="1:14" ht="15.75" customHeight="1" x14ac:dyDescent="0.35">
      <c r="A898" s="12"/>
      <c r="B898" s="12"/>
      <c r="C898" s="12" t="str">
        <f ca="1">IFERROR(__xludf.DUMMYFUNCTION("""COMPUTED_VALUE"""),"Forever: Why You Can't Live Without It")</f>
        <v>Forever: Why You Can't Live Without It</v>
      </c>
      <c r="D898" s="12"/>
      <c r="E898" s="12" t="str">
        <f ca="1">IFERROR(__xludf.DUMMYFUNCTION("""COMPUTED_VALUE"""),"DVD")</f>
        <v>DVD</v>
      </c>
      <c r="F898" s="12"/>
      <c r="G898" s="12"/>
      <c r="H898" s="12"/>
      <c r="I898" s="12"/>
      <c r="J898" s="12"/>
      <c r="K898" s="13">
        <f ca="1">IFERROR(__xludf.DUMMYFUNCTION("""COMPUTED_VALUE"""),42675)</f>
        <v>42675</v>
      </c>
      <c r="L898" s="12"/>
      <c r="M898" s="12" t="str">
        <f ca="1">IFERROR(__xludf.DUMMYFUNCTION("""COMPUTED_VALUE"""),"Tripp, Paul David")</f>
        <v>Tripp, Paul David</v>
      </c>
      <c r="N898" s="12" t="str">
        <f ca="1">IFERROR(__xludf.DUMMYFUNCTION("""COMPUTED_VALUE"""),"Table2")</f>
        <v>Table2</v>
      </c>
    </row>
    <row r="899" spans="1:14" ht="15.75" customHeight="1" x14ac:dyDescent="0.35">
      <c r="A899" s="12"/>
      <c r="B899" s="12"/>
      <c r="C899" s="12" t="str">
        <f ca="1">IFERROR(__xludf.DUMMYFUNCTION("""COMPUTED_VALUE"""),"The Fourth Wise Man")</f>
        <v>The Fourth Wise Man</v>
      </c>
      <c r="D899" s="12"/>
      <c r="E899" s="12" t="str">
        <f ca="1">IFERROR(__xludf.DUMMYFUNCTION("""COMPUTED_VALUE"""),"DVD")</f>
        <v>DVD</v>
      </c>
      <c r="F899" s="12"/>
      <c r="G899" s="12"/>
      <c r="H899" s="12"/>
      <c r="I899" s="12"/>
      <c r="J899" s="12"/>
      <c r="K899" s="13">
        <f ca="1">IFERROR(__xludf.DUMMYFUNCTION("""COMPUTED_VALUE"""),40056)</f>
        <v>40056</v>
      </c>
      <c r="L899" s="12"/>
      <c r="M899" s="12"/>
      <c r="N899" s="12" t="str">
        <f ca="1">IFERROR(__xludf.DUMMYFUNCTION("""COMPUTED_VALUE"""),"Table2")</f>
        <v>Table2</v>
      </c>
    </row>
    <row r="900" spans="1:14" ht="15.75" customHeight="1" x14ac:dyDescent="0.35">
      <c r="A900" s="12"/>
      <c r="B900" s="12"/>
      <c r="C900" s="12" t="str">
        <f ca="1">IFERROR(__xludf.DUMMYFUNCTION("""COMPUTED_VALUE"""),"Fury to Freedom: Tormented by Anger. Saved by Grace. The Inspiring True Story of Martial Arts Champion Raul Ries.")</f>
        <v>Fury to Freedom: Tormented by Anger. Saved by Grace. The Inspiring True Story of Martial Arts Champion Raul Ries.</v>
      </c>
      <c r="D900" s="12"/>
      <c r="E900" s="12" t="str">
        <f ca="1">IFERROR(__xludf.DUMMYFUNCTION("""COMPUTED_VALUE"""),"DVD")</f>
        <v>DVD</v>
      </c>
      <c r="F900" s="12"/>
      <c r="G900" s="12"/>
      <c r="H900" s="12"/>
      <c r="I900" s="12"/>
      <c r="J900" s="12"/>
      <c r="K900" s="13">
        <f ca="1">IFERROR(__xludf.DUMMYFUNCTION("""COMPUTED_VALUE"""),44578)</f>
        <v>44578</v>
      </c>
      <c r="L900" s="12"/>
      <c r="M900" s="12"/>
      <c r="N900" s="12" t="str">
        <f ca="1">IFERROR(__xludf.DUMMYFUNCTION("""COMPUTED_VALUE"""),"Table2")</f>
        <v>Table2</v>
      </c>
    </row>
    <row r="901" spans="1:14" ht="15.75" customHeight="1" x14ac:dyDescent="0.35">
      <c r="A901" s="12"/>
      <c r="B901" s="12"/>
      <c r="C901" s="12" t="str">
        <f ca="1">IFERROR(__xludf.DUMMYFUNCTION("""COMPUTED_VALUE"""),"Future Grace: The Purifying Power of the Promises of God")</f>
        <v>Future Grace: The Purifying Power of the Promises of God</v>
      </c>
      <c r="D901" s="12"/>
      <c r="E901" s="12" t="str">
        <f ca="1">IFERROR(__xludf.DUMMYFUNCTION("""COMPUTED_VALUE"""),"DVD")</f>
        <v>DVD</v>
      </c>
      <c r="F901" s="12"/>
      <c r="G901" s="12"/>
      <c r="H901" s="12"/>
      <c r="I901" s="12"/>
      <c r="J901" s="12"/>
      <c r="K901" s="13"/>
      <c r="L901" s="12"/>
      <c r="M901" s="12" t="str">
        <f ca="1">IFERROR(__xludf.DUMMYFUNCTION("""COMPUTED_VALUE"""),"Piper, John")</f>
        <v>Piper, John</v>
      </c>
      <c r="N901" s="12" t="str">
        <f ca="1">IFERROR(__xludf.DUMMYFUNCTION("""COMPUTED_VALUE"""),"Table2")</f>
        <v>Table2</v>
      </c>
    </row>
    <row r="902" spans="1:14" ht="15.75" customHeight="1" x14ac:dyDescent="0.35">
      <c r="A902" s="12"/>
      <c r="B902" s="12"/>
      <c r="C902" s="12" t="str">
        <f ca="1">IFERROR(__xludf.DUMMYFUNCTION("""COMPUTED_VALUE"""),"Gladys Aylward: The Small Woman with a Great God")</f>
        <v>Gladys Aylward: The Small Woman with a Great God</v>
      </c>
      <c r="D902" s="12"/>
      <c r="E902" s="12" t="str">
        <f ca="1">IFERROR(__xludf.DUMMYFUNCTION("""COMPUTED_VALUE"""),"DVD")</f>
        <v>DVD</v>
      </c>
      <c r="F902" s="12"/>
      <c r="G902" s="12"/>
      <c r="H902" s="12"/>
      <c r="I902" s="12"/>
      <c r="J902" s="12"/>
      <c r="K902" s="13">
        <f ca="1">IFERROR(__xludf.DUMMYFUNCTION("""COMPUTED_VALUE"""),44578)</f>
        <v>44578</v>
      </c>
      <c r="L902" s="12"/>
      <c r="M902" s="12"/>
      <c r="N902" s="12" t="str">
        <f ca="1">IFERROR(__xludf.DUMMYFUNCTION("""COMPUTED_VALUE"""),"Table2")</f>
        <v>Table2</v>
      </c>
    </row>
    <row r="903" spans="1:14" ht="15.75" customHeight="1" x14ac:dyDescent="0.35">
      <c r="A903" s="12"/>
      <c r="B903" s="12"/>
      <c r="C903" s="12" t="str">
        <f ca="1">IFERROR(__xludf.DUMMYFUNCTION("""COMPUTED_VALUE"""),"Glory to God Alone: The Life of J.S. Bach")</f>
        <v>Glory to God Alone: The Life of J.S. Bach</v>
      </c>
      <c r="D903" s="12"/>
      <c r="E903" s="12" t="str">
        <f ca="1">IFERROR(__xludf.DUMMYFUNCTION("""COMPUTED_VALUE"""),"DVD")</f>
        <v>DVD</v>
      </c>
      <c r="F903" s="12"/>
      <c r="G903" s="12"/>
      <c r="H903" s="12"/>
      <c r="I903" s="12"/>
      <c r="J903" s="12"/>
      <c r="K903" s="13">
        <f ca="1">IFERROR(__xludf.DUMMYFUNCTION("""COMPUTED_VALUE"""),44578)</f>
        <v>44578</v>
      </c>
      <c r="L903" s="12"/>
      <c r="M903" s="12"/>
      <c r="N903" s="12" t="str">
        <f ca="1">IFERROR(__xludf.DUMMYFUNCTION("""COMPUTED_VALUE"""),"Table2")</f>
        <v>Table2</v>
      </c>
    </row>
    <row r="904" spans="1:14" ht="15.75" customHeight="1" x14ac:dyDescent="0.35">
      <c r="A904" s="12"/>
      <c r="B904" s="12"/>
      <c r="C904" s="12" t="str">
        <f ca="1">IFERROR(__xludf.DUMMYFUNCTION("""COMPUTED_VALUE"""),"God's Outlaw: The Story of William Tyndale")</f>
        <v>God's Outlaw: The Story of William Tyndale</v>
      </c>
      <c r="D904" s="12"/>
      <c r="E904" s="12" t="str">
        <f ca="1">IFERROR(__xludf.DUMMYFUNCTION("""COMPUTED_VALUE"""),"DVD")</f>
        <v>DVD</v>
      </c>
      <c r="F904" s="12"/>
      <c r="G904" s="12"/>
      <c r="H904" s="12"/>
      <c r="I904" s="12"/>
      <c r="J904" s="12"/>
      <c r="K904" s="13">
        <f ca="1">IFERROR(__xludf.DUMMYFUNCTION("""COMPUTED_VALUE"""),42019)</f>
        <v>42019</v>
      </c>
      <c r="L904" s="12"/>
      <c r="M904" s="12"/>
      <c r="N904" s="12" t="str">
        <f ca="1">IFERROR(__xludf.DUMMYFUNCTION("""COMPUTED_VALUE"""),"Table2")</f>
        <v>Table2</v>
      </c>
    </row>
    <row r="905" spans="1:14" ht="15.75" customHeight="1" x14ac:dyDescent="0.35">
      <c r="A905" s="12"/>
      <c r="B905" s="12"/>
      <c r="C905" s="12" t="str">
        <f ca="1">IFERROR(__xludf.DUMMYFUNCTION("""COMPUTED_VALUE"""),"God's Technology")</f>
        <v>God's Technology</v>
      </c>
      <c r="D905" s="12"/>
      <c r="E905" s="12" t="str">
        <f ca="1">IFERROR(__xludf.DUMMYFUNCTION("""COMPUTED_VALUE"""),"DVD")</f>
        <v>DVD</v>
      </c>
      <c r="F905" s="12"/>
      <c r="G905" s="12"/>
      <c r="H905" s="12"/>
      <c r="I905" s="12"/>
      <c r="J905" s="12"/>
      <c r="K905" s="13">
        <f ca="1">IFERROR(__xludf.DUMMYFUNCTION("""COMPUTED_VALUE"""),41011)</f>
        <v>41011</v>
      </c>
      <c r="L905" s="12"/>
      <c r="M905" s="12"/>
      <c r="N905" s="12" t="str">
        <f ca="1">IFERROR(__xludf.DUMMYFUNCTION("""COMPUTED_VALUE"""),"Table2")</f>
        <v>Table2</v>
      </c>
    </row>
    <row r="906" spans="1:14" ht="15.75" customHeight="1" x14ac:dyDescent="0.35">
      <c r="A906" s="12"/>
      <c r="B906" s="12"/>
      <c r="C906" s="12" t="str">
        <f ca="1">IFERROR(__xludf.DUMMYFUNCTION("""COMPUTED_VALUE"""),"Gold through the Fire")</f>
        <v>Gold through the Fire</v>
      </c>
      <c r="D906" s="12"/>
      <c r="E906" s="12" t="str">
        <f ca="1">IFERROR(__xludf.DUMMYFUNCTION("""COMPUTED_VALUE"""),"DVD")</f>
        <v>DVD</v>
      </c>
      <c r="F906" s="12"/>
      <c r="G906" s="12"/>
      <c r="H906" s="12"/>
      <c r="I906" s="12"/>
      <c r="J906" s="12"/>
      <c r="K906" s="13"/>
      <c r="L906" s="12"/>
      <c r="M906" s="12"/>
      <c r="N906" s="12" t="str">
        <f ca="1">IFERROR(__xludf.DUMMYFUNCTION("""COMPUTED_VALUE"""),"Table2")</f>
        <v>Table2</v>
      </c>
    </row>
    <row r="907" spans="1:14" ht="15.75" customHeight="1" x14ac:dyDescent="0.35">
      <c r="A907" s="12"/>
      <c r="B907" s="12"/>
      <c r="C907" s="12" t="str">
        <f ca="1">IFERROR(__xludf.DUMMYFUNCTION("""COMPUTED_VALUE"""),"The Great Mr. Handel")</f>
        <v>The Great Mr. Handel</v>
      </c>
      <c r="D907" s="12"/>
      <c r="E907" s="12" t="str">
        <f ca="1">IFERROR(__xludf.DUMMYFUNCTION("""COMPUTED_VALUE"""),"DVD")</f>
        <v>DVD</v>
      </c>
      <c r="F907" s="12"/>
      <c r="G907" s="12"/>
      <c r="H907" s="12"/>
      <c r="I907" s="12"/>
      <c r="J907" s="12"/>
      <c r="K907" s="13">
        <f ca="1">IFERROR(__xludf.DUMMYFUNCTION("""COMPUTED_VALUE"""),44578)</f>
        <v>44578</v>
      </c>
      <c r="L907" s="12"/>
      <c r="M907" s="12"/>
      <c r="N907" s="12" t="str">
        <f ca="1">IFERROR(__xludf.DUMMYFUNCTION("""COMPUTED_VALUE"""),"Table2")</f>
        <v>Table2</v>
      </c>
    </row>
    <row r="908" spans="1:14" ht="15.75" customHeight="1" x14ac:dyDescent="0.35">
      <c r="A908" s="12"/>
      <c r="B908" s="12"/>
      <c r="C908" s="12" t="str">
        <f ca="1">IFERROR(__xludf.DUMMYFUNCTION("""COMPUTED_VALUE"""),"A Heart Set Free: The Life of Charles Wesley")</f>
        <v>A Heart Set Free: The Life of Charles Wesley</v>
      </c>
      <c r="D908" s="12"/>
      <c r="E908" s="12" t="str">
        <f ca="1">IFERROR(__xludf.DUMMYFUNCTION("""COMPUTED_VALUE"""),"DVD")</f>
        <v>DVD</v>
      </c>
      <c r="F908" s="12"/>
      <c r="G908" s="12"/>
      <c r="H908" s="12"/>
      <c r="I908" s="12"/>
      <c r="J908" s="12"/>
      <c r="K908" s="13">
        <f ca="1">IFERROR(__xludf.DUMMYFUNCTION("""COMPUTED_VALUE"""),40188)</f>
        <v>40188</v>
      </c>
      <c r="L908" s="12"/>
      <c r="M908" s="12"/>
      <c r="N908" s="12" t="str">
        <f ca="1">IFERROR(__xludf.DUMMYFUNCTION("""COMPUTED_VALUE"""),"Table2")</f>
        <v>Table2</v>
      </c>
    </row>
    <row r="909" spans="1:14" ht="15.75" customHeight="1" x14ac:dyDescent="0.35">
      <c r="A909" s="12"/>
      <c r="B909" s="12"/>
      <c r="C909" s="12" t="str">
        <f ca="1">IFERROR(__xludf.DUMMYFUNCTION("""COMPUTED_VALUE"""),"The Hiding Place")</f>
        <v>The Hiding Place</v>
      </c>
      <c r="D909" s="12"/>
      <c r="E909" s="12" t="str">
        <f ca="1">IFERROR(__xludf.DUMMYFUNCTION("""COMPUTED_VALUE"""),"DVD")</f>
        <v>DVD</v>
      </c>
      <c r="F909" s="12"/>
      <c r="G909" s="12"/>
      <c r="H909" s="12"/>
      <c r="I909" s="12"/>
      <c r="J909" s="12"/>
      <c r="K909" s="13">
        <f ca="1">IFERROR(__xludf.DUMMYFUNCTION("""COMPUTED_VALUE"""),40188)</f>
        <v>40188</v>
      </c>
      <c r="L909" s="12"/>
      <c r="M909" s="12"/>
      <c r="N909" s="12" t="str">
        <f ca="1">IFERROR(__xludf.DUMMYFUNCTION("""COMPUTED_VALUE"""),"Table2")</f>
        <v>Table2</v>
      </c>
    </row>
    <row r="910" spans="1:14" ht="15.75" customHeight="1" x14ac:dyDescent="0.35">
      <c r="A910" s="12"/>
      <c r="B910" s="12"/>
      <c r="C910" s="12" t="str">
        <f ca="1">IFERROR(__xludf.DUMMYFUNCTION("""COMPUTED_VALUE"""),"How Should We Then Live?")</f>
        <v>How Should We Then Live?</v>
      </c>
      <c r="D910" s="12"/>
      <c r="E910" s="12" t="str">
        <f ca="1">IFERROR(__xludf.DUMMYFUNCTION("""COMPUTED_VALUE"""),"DVD")</f>
        <v>DVD</v>
      </c>
      <c r="F910" s="12"/>
      <c r="G910" s="12"/>
      <c r="H910" s="12"/>
      <c r="I910" s="12"/>
      <c r="J910" s="12"/>
      <c r="K910" s="13">
        <f ca="1">IFERROR(__xludf.DUMMYFUNCTION("""COMPUTED_VALUE"""),40034)</f>
        <v>40034</v>
      </c>
      <c r="L910" s="12" t="str">
        <f ca="1">IFERROR(__xludf.DUMMYFUNCTION("""COMPUTED_VALUE"""),"Checked out on 9/1/18; follow up on whether this was returned")</f>
        <v>Checked out on 9/1/18; follow up on whether this was returned</v>
      </c>
      <c r="M910" s="12" t="str">
        <f ca="1">IFERROR(__xludf.DUMMYFUNCTION("""COMPUTED_VALUE"""),"Schaeffer, Francis")</f>
        <v>Schaeffer, Francis</v>
      </c>
      <c r="N910" s="12" t="str">
        <f ca="1">IFERROR(__xludf.DUMMYFUNCTION("""COMPUTED_VALUE"""),"Table2")</f>
        <v>Table2</v>
      </c>
    </row>
    <row r="911" spans="1:14" ht="15.75" customHeight="1" x14ac:dyDescent="0.35">
      <c r="A911" s="12"/>
      <c r="B911" s="12"/>
      <c r="C911" s="12" t="str">
        <f ca="1">IFERROR(__xludf.DUMMYFUNCTION("""COMPUTED_VALUE"""),"Hudson Taylor: Into the Heart of the Dragon")</f>
        <v>Hudson Taylor: Into the Heart of the Dragon</v>
      </c>
      <c r="D911" s="12"/>
      <c r="E911" s="12" t="str">
        <f ca="1">IFERROR(__xludf.DUMMYFUNCTION("""COMPUTED_VALUE"""),"DVD")</f>
        <v>DVD</v>
      </c>
      <c r="F911" s="12"/>
      <c r="G911" s="12"/>
      <c r="H911" s="12"/>
      <c r="I911" s="12"/>
      <c r="J911" s="12"/>
      <c r="K911" s="13">
        <f ca="1">IFERROR(__xludf.DUMMYFUNCTION("""COMPUTED_VALUE"""),44578)</f>
        <v>44578</v>
      </c>
      <c r="L911" s="12"/>
      <c r="M911" s="12"/>
      <c r="N911" s="12" t="str">
        <f ca="1">IFERROR(__xludf.DUMMYFUNCTION("""COMPUTED_VALUE"""),"Table2")</f>
        <v>Table2</v>
      </c>
    </row>
    <row r="912" spans="1:14" ht="15.75" customHeight="1" x14ac:dyDescent="0.35">
      <c r="A912" s="12"/>
      <c r="B912" s="12"/>
      <c r="C912" s="12" t="str">
        <f ca="1">IFERROR(__xludf.DUMMYFUNCTION("""COMPUTED_VALUE"""),"Indescribable: Eight Centuries. Two Men. One Song.")</f>
        <v>Indescribable: Eight Centuries. Two Men. One Song.</v>
      </c>
      <c r="D912" s="12"/>
      <c r="E912" s="12" t="str">
        <f ca="1">IFERROR(__xludf.DUMMYFUNCTION("""COMPUTED_VALUE"""),"DVD")</f>
        <v>DVD</v>
      </c>
      <c r="F912" s="12"/>
      <c r="G912" s="12"/>
      <c r="H912" s="12"/>
      <c r="I912" s="12"/>
      <c r="J912" s="12"/>
      <c r="K912" s="13">
        <f ca="1">IFERROR(__xludf.DUMMYFUNCTION("""COMPUTED_VALUE"""),41621)</f>
        <v>41621</v>
      </c>
      <c r="L912" s="12"/>
      <c r="M912" s="12"/>
      <c r="N912" s="12" t="str">
        <f ca="1">IFERROR(__xludf.DUMMYFUNCTION("""COMPUTED_VALUE"""),"Table2")</f>
        <v>Table2</v>
      </c>
    </row>
    <row r="913" spans="1:14" ht="15.75" customHeight="1" x14ac:dyDescent="0.35">
      <c r="A913" s="12"/>
      <c r="B913" s="12"/>
      <c r="C913" s="12" t="str">
        <f ca="1">IFERROR(__xludf.DUMMYFUNCTION("""COMPUTED_VALUE"""),"J.I. Packer")</f>
        <v>J.I. Packer</v>
      </c>
      <c r="D913" s="12"/>
      <c r="E913" s="12" t="str">
        <f ca="1">IFERROR(__xludf.DUMMYFUNCTION("""COMPUTED_VALUE"""),"DVD")</f>
        <v>DVD</v>
      </c>
      <c r="F913" s="12"/>
      <c r="G913" s="12"/>
      <c r="H913" s="12"/>
      <c r="I913" s="12"/>
      <c r="J913" s="12"/>
      <c r="K913" s="13">
        <f ca="1">IFERROR(__xludf.DUMMYFUNCTION("""COMPUTED_VALUE"""),41122)</f>
        <v>41122</v>
      </c>
      <c r="L913" s="12"/>
      <c r="M913" s="12"/>
      <c r="N913" s="12" t="str">
        <f ca="1">IFERROR(__xludf.DUMMYFUNCTION("""COMPUTED_VALUE"""),"Table2")</f>
        <v>Table2</v>
      </c>
    </row>
    <row r="914" spans="1:14" ht="15.75" customHeight="1" x14ac:dyDescent="0.35">
      <c r="A914" s="12"/>
      <c r="B914" s="12"/>
      <c r="C914" s="12" t="str">
        <f ca="1">IFERROR(__xludf.DUMMYFUNCTION("""COMPUTED_VALUE"""),"James I Packer")</f>
        <v>James I Packer</v>
      </c>
      <c r="D914" s="12"/>
      <c r="E914" s="12" t="str">
        <f ca="1">IFERROR(__xludf.DUMMYFUNCTION("""COMPUTED_VALUE"""),"DVD")</f>
        <v>DVD</v>
      </c>
      <c r="F914" s="12"/>
      <c r="G914" s="12"/>
      <c r="H914" s="12"/>
      <c r="I914" s="12"/>
      <c r="J914" s="12"/>
      <c r="K914" s="13">
        <f ca="1">IFERROR(__xludf.DUMMYFUNCTION("""COMPUTED_VALUE"""),41133)</f>
        <v>41133</v>
      </c>
      <c r="L914" s="12"/>
      <c r="M914" s="12" t="str">
        <f ca="1">IFERROR(__xludf.DUMMYFUNCTION("""COMPUTED_VALUE"""),"Christian Catalyst Collection")</f>
        <v>Christian Catalyst Collection</v>
      </c>
      <c r="N914" s="12" t="str">
        <f ca="1">IFERROR(__xludf.DUMMYFUNCTION("""COMPUTED_VALUE"""),"Table2")</f>
        <v>Table2</v>
      </c>
    </row>
    <row r="915" spans="1:14" ht="15.75" customHeight="1" x14ac:dyDescent="0.35">
      <c r="A915" s="12"/>
      <c r="B915" s="12"/>
      <c r="C915" s="12" t="str">
        <f ca="1">IFERROR(__xludf.DUMMYFUNCTION("""COMPUTED_VALUE"""),"Jesus:  The Desire of the Ages")</f>
        <v>Jesus:  The Desire of the Ages</v>
      </c>
      <c r="D915" s="12"/>
      <c r="E915" s="12" t="str">
        <f ca="1">IFERROR(__xludf.DUMMYFUNCTION("""COMPUTED_VALUE"""),"DVD")</f>
        <v>DVD</v>
      </c>
      <c r="F915" s="12"/>
      <c r="G915" s="12"/>
      <c r="H915" s="12"/>
      <c r="I915" s="12"/>
      <c r="J915" s="12"/>
      <c r="K915" s="13">
        <f ca="1">IFERROR(__xludf.DUMMYFUNCTION("""COMPUTED_VALUE"""),42019)</f>
        <v>42019</v>
      </c>
      <c r="L915" s="12"/>
      <c r="M915" s="12"/>
      <c r="N915" s="12" t="str">
        <f ca="1">IFERROR(__xludf.DUMMYFUNCTION("""COMPUTED_VALUE"""),"Table2")</f>
        <v>Table2</v>
      </c>
    </row>
    <row r="916" spans="1:14" ht="15.75" customHeight="1" x14ac:dyDescent="0.35">
      <c r="A916" s="12"/>
      <c r="B916" s="12"/>
      <c r="C916" s="12" t="str">
        <f ca="1">IFERROR(__xludf.DUMMYFUNCTION("""COMPUTED_VALUE"""),"John Hus: A Journey of No Return")</f>
        <v>John Hus: A Journey of No Return</v>
      </c>
      <c r="D916" s="12"/>
      <c r="E916" s="12" t="str">
        <f ca="1">IFERROR(__xludf.DUMMYFUNCTION("""COMPUTED_VALUE"""),"DVD")</f>
        <v>DVD</v>
      </c>
      <c r="F916" s="12"/>
      <c r="G916" s="12"/>
      <c r="H916" s="12"/>
      <c r="I916" s="12"/>
      <c r="J916" s="12"/>
      <c r="K916" s="13">
        <f ca="1">IFERROR(__xludf.DUMMYFUNCTION("""COMPUTED_VALUE"""),44578)</f>
        <v>44578</v>
      </c>
      <c r="L916" s="12"/>
      <c r="M916" s="12"/>
      <c r="N916" s="12" t="str">
        <f ca="1">IFERROR(__xludf.DUMMYFUNCTION("""COMPUTED_VALUE"""),"Table2")</f>
        <v>Table2</v>
      </c>
    </row>
    <row r="917" spans="1:14" ht="15.75" customHeight="1" x14ac:dyDescent="0.35">
      <c r="A917" s="12"/>
      <c r="B917" s="12"/>
      <c r="C917" s="12" t="str">
        <f ca="1">IFERROR(__xludf.DUMMYFUNCTION("""COMPUTED_VALUE"""),"Knox: The Life and Legacy of Scotland's Controversial Reformer")</f>
        <v>Knox: The Life and Legacy of Scotland's Controversial Reformer</v>
      </c>
      <c r="D917" s="12"/>
      <c r="E917" s="12" t="str">
        <f ca="1">IFERROR(__xludf.DUMMYFUNCTION("""COMPUTED_VALUE"""),"DVD")</f>
        <v>DVD</v>
      </c>
      <c r="F917" s="12"/>
      <c r="G917" s="12"/>
      <c r="H917" s="12"/>
      <c r="I917" s="12"/>
      <c r="J917" s="12"/>
      <c r="K917" s="13">
        <f ca="1">IFERROR(__xludf.DUMMYFUNCTION("""COMPUTED_VALUE"""),44578)</f>
        <v>44578</v>
      </c>
      <c r="L917" s="12"/>
      <c r="M917" s="12"/>
      <c r="N917" s="12" t="str">
        <f ca="1">IFERROR(__xludf.DUMMYFUNCTION("""COMPUTED_VALUE"""),"Table2")</f>
        <v>Table2</v>
      </c>
    </row>
    <row r="918" spans="1:14" ht="15.75" customHeight="1" x14ac:dyDescent="0.35">
      <c r="A918" s="12"/>
      <c r="B918" s="12"/>
      <c r="C918" s="12" t="str">
        <f ca="1">IFERROR(__xludf.DUMMYFUNCTION("""COMPUTED_VALUE"""),"Last Flight Out")</f>
        <v>Last Flight Out</v>
      </c>
      <c r="D918" s="12"/>
      <c r="E918" s="12" t="str">
        <f ca="1">IFERROR(__xludf.DUMMYFUNCTION("""COMPUTED_VALUE"""),"DVD")</f>
        <v>DVD</v>
      </c>
      <c r="F918" s="12"/>
      <c r="G918" s="12"/>
      <c r="H918" s="12"/>
      <c r="I918" s="12"/>
      <c r="J918" s="12"/>
      <c r="K918" s="13">
        <f ca="1">IFERROR(__xludf.DUMMYFUNCTION("""COMPUTED_VALUE"""),40035)</f>
        <v>40035</v>
      </c>
      <c r="L918" s="12"/>
      <c r="M918" s="12"/>
      <c r="N918" s="12" t="str">
        <f ca="1">IFERROR(__xludf.DUMMYFUNCTION("""COMPUTED_VALUE"""),"Table2")</f>
        <v>Table2</v>
      </c>
    </row>
    <row r="919" spans="1:14" ht="15.75" customHeight="1" x14ac:dyDescent="0.35">
      <c r="A919" s="12"/>
      <c r="B919" s="12"/>
      <c r="C919" s="12" t="str">
        <f ca="1">IFERROR(__xludf.DUMMYFUNCTION("""COMPUTED_VALUE"""),"The Last Sin Eater")</f>
        <v>The Last Sin Eater</v>
      </c>
      <c r="D919" s="12"/>
      <c r="E919" s="12" t="str">
        <f ca="1">IFERROR(__xludf.DUMMYFUNCTION("""COMPUTED_VALUE"""),"DVD")</f>
        <v>DVD</v>
      </c>
      <c r="F919" s="12"/>
      <c r="G919" s="12"/>
      <c r="H919" s="12"/>
      <c r="I919" s="12"/>
      <c r="J919" s="12"/>
      <c r="K919" s="13">
        <f ca="1">IFERROR(__xludf.DUMMYFUNCTION("""COMPUTED_VALUE"""),40188)</f>
        <v>40188</v>
      </c>
      <c r="L919" s="12"/>
      <c r="M919" s="12"/>
      <c r="N919" s="12" t="str">
        <f ca="1">IFERROR(__xludf.DUMMYFUNCTION("""COMPUTED_VALUE"""),"Table2")</f>
        <v>Table2</v>
      </c>
    </row>
    <row r="920" spans="1:14" ht="15.75" customHeight="1" x14ac:dyDescent="0.35">
      <c r="A920" s="12"/>
      <c r="B920" s="12"/>
      <c r="C920" s="12" t="str">
        <f ca="1">IFERROR(__xludf.DUMMYFUNCTION("""COMPUTED_VALUE"""),"Let the Nations Be Glad")</f>
        <v>Let the Nations Be Glad</v>
      </c>
      <c r="D920" s="12"/>
      <c r="E920" s="12" t="str">
        <f ca="1">IFERROR(__xludf.DUMMYFUNCTION("""COMPUTED_VALUE"""),"DVD")</f>
        <v>DVD</v>
      </c>
      <c r="F920" s="12"/>
      <c r="G920" s="12"/>
      <c r="H920" s="12"/>
      <c r="I920" s="12"/>
      <c r="J920" s="12"/>
      <c r="K920" s="13">
        <f ca="1">IFERROR(__xludf.DUMMYFUNCTION("""COMPUTED_VALUE"""),41122)</f>
        <v>41122</v>
      </c>
      <c r="L920" s="12"/>
      <c r="M920" s="12" t="str">
        <f ca="1">IFERROR(__xludf.DUMMYFUNCTION("""COMPUTED_VALUE"""),"Piper, John")</f>
        <v>Piper, John</v>
      </c>
      <c r="N920" s="12" t="str">
        <f ca="1">IFERROR(__xludf.DUMMYFUNCTION("""COMPUTED_VALUE"""),"Table2")</f>
        <v>Table2</v>
      </c>
    </row>
    <row r="921" spans="1:14" ht="15.75" customHeight="1" x14ac:dyDescent="0.35">
      <c r="A921" s="12"/>
      <c r="B921" s="12"/>
      <c r="C921" s="12" t="str">
        <f ca="1">IFERROR(__xludf.DUMMYFUNCTION("""COMPUTED_VALUE"""),"Logic on Fire: The Life and Legacy of D.M. Lloyd-Jones (3 DVDs in 3 Cases)")</f>
        <v>Logic on Fire: The Life and Legacy of D.M. Lloyd-Jones (3 DVDs in 3 Cases)</v>
      </c>
      <c r="D921" s="12"/>
      <c r="E921" s="12" t="str">
        <f ca="1">IFERROR(__xludf.DUMMYFUNCTION("""COMPUTED_VALUE"""),"DVD")</f>
        <v>DVD</v>
      </c>
      <c r="F921" s="12"/>
      <c r="G921" s="12"/>
      <c r="H921" s="12"/>
      <c r="I921" s="12"/>
      <c r="J921" s="12"/>
      <c r="K921" s="13">
        <f ca="1">IFERROR(__xludf.DUMMYFUNCTION("""COMPUTED_VALUE"""),42511)</f>
        <v>42511</v>
      </c>
      <c r="L921" s="12"/>
      <c r="M921" s="12"/>
      <c r="N921" s="12" t="str">
        <f ca="1">IFERROR(__xludf.DUMMYFUNCTION("""COMPUTED_VALUE"""),"Table2")</f>
        <v>Table2</v>
      </c>
    </row>
    <row r="922" spans="1:14" ht="15.75" customHeight="1" x14ac:dyDescent="0.35">
      <c r="A922" s="12"/>
      <c r="B922" s="12"/>
      <c r="C922" s="12" t="str">
        <f ca="1">IFERROR(__xludf.DUMMYFUNCTION("""COMPUTED_VALUE"""),"The Lord's Prayer")</f>
        <v>The Lord's Prayer</v>
      </c>
      <c r="D922" s="12"/>
      <c r="E922" s="12" t="str">
        <f ca="1">IFERROR(__xludf.DUMMYFUNCTION("""COMPUTED_VALUE"""),"DVD")</f>
        <v>DVD</v>
      </c>
      <c r="F922" s="12"/>
      <c r="G922" s="12"/>
      <c r="H922" s="12"/>
      <c r="I922" s="12"/>
      <c r="J922" s="12"/>
      <c r="K922" s="13">
        <f ca="1">IFERROR(__xludf.DUMMYFUNCTION("""COMPUTED_VALUE"""),42675)</f>
        <v>42675</v>
      </c>
      <c r="L922" s="12"/>
      <c r="M922" s="12"/>
      <c r="N922" s="12" t="str">
        <f ca="1">IFERROR(__xludf.DUMMYFUNCTION("""COMPUTED_VALUE"""),"Table2")</f>
        <v>Table2</v>
      </c>
    </row>
    <row r="923" spans="1:14" ht="15.75" customHeight="1" x14ac:dyDescent="0.35">
      <c r="A923" s="12"/>
      <c r="B923" s="12"/>
      <c r="C923" s="12" t="str">
        <f ca="1">IFERROR(__xludf.DUMMYFUNCTION("""COMPUTED_VALUE"""),"Luther")</f>
        <v>Luther</v>
      </c>
      <c r="D923" s="12"/>
      <c r="E923" s="12" t="str">
        <f ca="1">IFERROR(__xludf.DUMMYFUNCTION("""COMPUTED_VALUE"""),"DVD")</f>
        <v>DVD</v>
      </c>
      <c r="F923" s="12"/>
      <c r="G923" s="12"/>
      <c r="H923" s="12"/>
      <c r="I923" s="12"/>
      <c r="J923" s="12"/>
      <c r="K923" s="13">
        <f ca="1">IFERROR(__xludf.DUMMYFUNCTION("""COMPUTED_VALUE"""),41287)</f>
        <v>41287</v>
      </c>
      <c r="L923" s="12"/>
      <c r="M923" s="12"/>
      <c r="N923" s="12" t="str">
        <f ca="1">IFERROR(__xludf.DUMMYFUNCTION("""COMPUTED_VALUE"""),"Table2")</f>
        <v>Table2</v>
      </c>
    </row>
    <row r="924" spans="1:14" ht="15.75" customHeight="1" x14ac:dyDescent="0.35">
      <c r="A924" s="12"/>
      <c r="B924" s="12"/>
      <c r="C924" s="12" t="str">
        <f ca="1">IFERROR(__xludf.DUMMYFUNCTION("""COMPUTED_VALUE"""),"Marks of a Healthy Church")</f>
        <v>Marks of a Healthy Church</v>
      </c>
      <c r="D924" s="12"/>
      <c r="E924" s="12" t="str">
        <f ca="1">IFERROR(__xludf.DUMMYFUNCTION("""COMPUTED_VALUE"""),"DVD")</f>
        <v>DVD</v>
      </c>
      <c r="F924" s="12"/>
      <c r="G924" s="12"/>
      <c r="H924" s="12"/>
      <c r="I924" s="12"/>
      <c r="J924" s="12"/>
      <c r="K924" s="13"/>
      <c r="L924" s="12"/>
      <c r="M924" s="12" t="str">
        <f ca="1">IFERROR(__xludf.DUMMYFUNCTION("""COMPUTED_VALUE"""),"Dever, Mark; Leeman, Jonathan")</f>
        <v>Dever, Mark; Leeman, Jonathan</v>
      </c>
      <c r="N924" s="12" t="str">
        <f ca="1">IFERROR(__xludf.DUMMYFUNCTION("""COMPUTED_VALUE"""),"Table2")</f>
        <v>Table2</v>
      </c>
    </row>
    <row r="925" spans="1:14" ht="15.75" customHeight="1" x14ac:dyDescent="0.35">
      <c r="A925" s="12"/>
      <c r="B925" s="12"/>
      <c r="C925" s="12" t="str">
        <f ca="1">IFERROR(__xludf.DUMMYFUNCTION("""COMPUTED_VALUE"""),"Martin Luther: Return to Grace")</f>
        <v>Martin Luther: Return to Grace</v>
      </c>
      <c r="D925" s="12"/>
      <c r="E925" s="12" t="str">
        <f ca="1">IFERROR(__xludf.DUMMYFUNCTION("""COMPUTED_VALUE"""),"DVD")</f>
        <v>DVD</v>
      </c>
      <c r="F925" s="12"/>
      <c r="G925" s="12"/>
      <c r="H925" s="12"/>
      <c r="I925" s="12"/>
      <c r="J925" s="12"/>
      <c r="K925" s="13">
        <f ca="1">IFERROR(__xludf.DUMMYFUNCTION("""COMPUTED_VALUE"""),44578)</f>
        <v>44578</v>
      </c>
      <c r="L925" s="12"/>
      <c r="M925" s="12"/>
      <c r="N925" s="12" t="str">
        <f ca="1">IFERROR(__xludf.DUMMYFUNCTION("""COMPUTED_VALUE"""),"Table2")</f>
        <v>Table2</v>
      </c>
    </row>
    <row r="926" spans="1:14" ht="15.75" customHeight="1" x14ac:dyDescent="0.35">
      <c r="A926" s="12"/>
      <c r="B926" s="12"/>
      <c r="C926" s="12" t="str">
        <f ca="1">IFERROR(__xludf.DUMMYFUNCTION("""COMPUTED_VALUE"""),"The Message of the Old Testament")</f>
        <v>The Message of the Old Testament</v>
      </c>
      <c r="D926" s="12"/>
      <c r="E926" s="12" t="str">
        <f ca="1">IFERROR(__xludf.DUMMYFUNCTION("""COMPUTED_VALUE"""),"DVD")</f>
        <v>DVD</v>
      </c>
      <c r="F926" s="12"/>
      <c r="G926" s="12"/>
      <c r="H926" s="12"/>
      <c r="I926" s="12"/>
      <c r="J926" s="12"/>
      <c r="K926" s="13"/>
      <c r="L926" s="12"/>
      <c r="M926" s="12" t="str">
        <f ca="1">IFERROR(__xludf.DUMMYFUNCTION("""COMPUTED_VALUE"""),"Dever, Mark")</f>
        <v>Dever, Mark</v>
      </c>
      <c r="N926" s="12" t="str">
        <f ca="1">IFERROR(__xludf.DUMMYFUNCTION("""COMPUTED_VALUE"""),"Table2")</f>
        <v>Table2</v>
      </c>
    </row>
    <row r="927" spans="1:14" ht="15.75" customHeight="1" x14ac:dyDescent="0.35">
      <c r="A927" s="12"/>
      <c r="B927" s="12"/>
      <c r="C927" s="12" t="str">
        <f ca="1">IFERROR(__xludf.DUMMYFUNCTION("""COMPUTED_VALUE"""),"Millions of Years: Where Did the Idea Come From?")</f>
        <v>Millions of Years: Where Did the Idea Come From?</v>
      </c>
      <c r="D927" s="12"/>
      <c r="E927" s="12" t="str">
        <f ca="1">IFERROR(__xludf.DUMMYFUNCTION("""COMPUTED_VALUE"""),"DVD")</f>
        <v>DVD</v>
      </c>
      <c r="F927" s="12"/>
      <c r="G927" s="12"/>
      <c r="H927" s="12"/>
      <c r="I927" s="12"/>
      <c r="J927" s="12"/>
      <c r="K927" s="13">
        <f ca="1">IFERROR(__xludf.DUMMYFUNCTION("""COMPUTED_VALUE"""),42511)</f>
        <v>42511</v>
      </c>
      <c r="L927" s="12"/>
      <c r="M927" s="12"/>
      <c r="N927" s="12" t="str">
        <f ca="1">IFERROR(__xludf.DUMMYFUNCTION("""COMPUTED_VALUE"""),"Table2")</f>
        <v>Table2</v>
      </c>
    </row>
    <row r="928" spans="1:14" ht="15.75" customHeight="1" x14ac:dyDescent="0.35">
      <c r="A928" s="12"/>
      <c r="B928" s="12"/>
      <c r="C928" s="12" t="str">
        <f ca="1">IFERROR(__xludf.DUMMYFUNCTION("""COMPUTED_VALUE"""),"Milltown Pride")</f>
        <v>Milltown Pride</v>
      </c>
      <c r="D928" s="12"/>
      <c r="E928" s="12" t="str">
        <f ca="1">IFERROR(__xludf.DUMMYFUNCTION("""COMPUTED_VALUE"""),"DVD")</f>
        <v>DVD</v>
      </c>
      <c r="F928" s="12"/>
      <c r="G928" s="12"/>
      <c r="H928" s="12"/>
      <c r="I928" s="12"/>
      <c r="J928" s="12"/>
      <c r="K928" s="13">
        <f ca="1">IFERROR(__xludf.DUMMYFUNCTION("""COMPUTED_VALUE"""),42019)</f>
        <v>42019</v>
      </c>
      <c r="L928" s="12"/>
      <c r="M928" s="12"/>
      <c r="N928" s="12" t="str">
        <f ca="1">IFERROR(__xludf.DUMMYFUNCTION("""COMPUTED_VALUE"""),"Table2")</f>
        <v>Table2</v>
      </c>
    </row>
    <row r="929" spans="1:14" ht="15.75" customHeight="1" x14ac:dyDescent="0.35">
      <c r="A929" s="12"/>
      <c r="B929" s="12"/>
      <c r="C929" s="12" t="str">
        <f ca="1">IFERROR(__xludf.DUMMYFUNCTION("""COMPUTED_VALUE"""),"Mister Scrooge to See You!")</f>
        <v>Mister Scrooge to See You!</v>
      </c>
      <c r="D929" s="12"/>
      <c r="E929" s="12" t="str">
        <f ca="1">IFERROR(__xludf.DUMMYFUNCTION("""COMPUTED_VALUE"""),"DVD")</f>
        <v>DVD</v>
      </c>
      <c r="F929" s="12"/>
      <c r="G929" s="12"/>
      <c r="H929" s="12"/>
      <c r="I929" s="12"/>
      <c r="J929" s="12"/>
      <c r="K929" s="13">
        <f ca="1">IFERROR(__xludf.DUMMYFUNCTION("""COMPUTED_VALUE"""),44578)</f>
        <v>44578</v>
      </c>
      <c r="L929" s="12"/>
      <c r="M929" s="12"/>
      <c r="N929" s="12" t="str">
        <f ca="1">IFERROR(__xludf.DUMMYFUNCTION("""COMPUTED_VALUE"""),"Table2")</f>
        <v>Table2</v>
      </c>
    </row>
    <row r="930" spans="1:14" ht="15.75" customHeight="1" x14ac:dyDescent="0.35">
      <c r="A930" s="12"/>
      <c r="B930" s="12"/>
      <c r="C930" s="12" t="str">
        <f ca="1">IFERROR(__xludf.DUMMYFUNCTION("""COMPUTED_VALUE"""),"On Wings of Eagles: The Eric Liddell Story")</f>
        <v>On Wings of Eagles: The Eric Liddell Story</v>
      </c>
      <c r="D930" s="12"/>
      <c r="E930" s="12" t="str">
        <f ca="1">IFERROR(__xludf.DUMMYFUNCTION("""COMPUTED_VALUE"""),"DVD")</f>
        <v>DVD</v>
      </c>
      <c r="F930" s="12"/>
      <c r="G930" s="12"/>
      <c r="H930" s="12"/>
      <c r="I930" s="12"/>
      <c r="J930" s="12"/>
      <c r="K930" s="13">
        <f ca="1">IFERROR(__xludf.DUMMYFUNCTION("""COMPUTED_VALUE"""),43704)</f>
        <v>43704</v>
      </c>
      <c r="L930" s="12"/>
      <c r="M930" s="12"/>
      <c r="N930" s="12" t="str">
        <f ca="1">IFERROR(__xludf.DUMMYFUNCTION("""COMPUTED_VALUE"""),"Table2")</f>
        <v>Table2</v>
      </c>
    </row>
    <row r="931" spans="1:14" ht="15.75" customHeight="1" x14ac:dyDescent="0.35">
      <c r="A931" s="12"/>
      <c r="B931" s="12"/>
      <c r="C931" s="12" t="str">
        <f ca="1">IFERROR(__xludf.DUMMYFUNCTION("""COMPUTED_VALUE"""),"Open Their Eyes")</f>
        <v>Open Their Eyes</v>
      </c>
      <c r="D931" s="12"/>
      <c r="E931" s="12" t="str">
        <f ca="1">IFERROR(__xludf.DUMMYFUNCTION("""COMPUTED_VALUE"""),"DVD")</f>
        <v>DVD</v>
      </c>
      <c r="F931" s="12"/>
      <c r="G931" s="12"/>
      <c r="H931" s="12"/>
      <c r="I931" s="12"/>
      <c r="J931" s="12"/>
      <c r="K931" s="13"/>
      <c r="L931" s="12"/>
      <c r="M931" s="12"/>
      <c r="N931" s="12" t="str">
        <f ca="1">IFERROR(__xludf.DUMMYFUNCTION("""COMPUTED_VALUE"""),"Table2")</f>
        <v>Table2</v>
      </c>
    </row>
    <row r="932" spans="1:14" ht="15.75" customHeight="1" x14ac:dyDescent="0.35">
      <c r="A932" s="12"/>
      <c r="B932" s="12"/>
      <c r="C932" s="12" t="str">
        <f ca="1">IFERROR(__xludf.DUMMYFUNCTION("""COMPUTED_VALUE"""),"Overcomer: Life Changes for Coach Harrison")</f>
        <v>Overcomer: Life Changes for Coach Harrison</v>
      </c>
      <c r="D932" s="12"/>
      <c r="E932" s="12" t="str">
        <f ca="1">IFERROR(__xludf.DUMMYFUNCTION("""COMPUTED_VALUE"""),"DVD")</f>
        <v>DVD</v>
      </c>
      <c r="F932" s="12"/>
      <c r="G932" s="12"/>
      <c r="H932" s="12"/>
      <c r="I932" s="12"/>
      <c r="J932" s="12"/>
      <c r="K932" s="13">
        <f ca="1">IFERROR(__xludf.DUMMYFUNCTION("""COMPUTED_VALUE"""),43910)</f>
        <v>43910</v>
      </c>
      <c r="L932" s="12"/>
      <c r="M932" s="12"/>
      <c r="N932" s="12" t="str">
        <f ca="1">IFERROR(__xludf.DUMMYFUNCTION("""COMPUTED_VALUE"""),"Table2")</f>
        <v>Table2</v>
      </c>
    </row>
    <row r="933" spans="1:14" ht="15.75" customHeight="1" x14ac:dyDescent="0.35">
      <c r="A933" s="12"/>
      <c r="B933" s="12"/>
      <c r="C933" s="12" t="str">
        <f ca="1">IFERROR(__xludf.DUMMYFUNCTION("""COMPUTED_VALUE"""),"Paul: The Apostle")</f>
        <v>Paul: The Apostle</v>
      </c>
      <c r="D933" s="12"/>
      <c r="E933" s="12" t="str">
        <f ca="1">IFERROR(__xludf.DUMMYFUNCTION("""COMPUTED_VALUE"""),"DVD")</f>
        <v>DVD</v>
      </c>
      <c r="F933" s="12"/>
      <c r="G933" s="12"/>
      <c r="H933" s="12"/>
      <c r="I933" s="12"/>
      <c r="J933" s="12"/>
      <c r="K933" s="13">
        <f ca="1">IFERROR(__xludf.DUMMYFUNCTION("""COMPUTED_VALUE"""),42019)</f>
        <v>42019</v>
      </c>
      <c r="L933" s="12"/>
      <c r="M933" s="12"/>
      <c r="N933" s="12" t="str">
        <f ca="1">IFERROR(__xludf.DUMMYFUNCTION("""COMPUTED_VALUE"""),"Table2")</f>
        <v>Table2</v>
      </c>
    </row>
    <row r="934" spans="1:14" ht="15.75" customHeight="1" x14ac:dyDescent="0.35">
      <c r="A934" s="12"/>
      <c r="B934" s="12"/>
      <c r="C934" s="12" t="str">
        <f ca="1">IFERROR(__xludf.DUMMYFUNCTION("""COMPUTED_VALUE"""),"Peter and Paul")</f>
        <v>Peter and Paul</v>
      </c>
      <c r="D934" s="12"/>
      <c r="E934" s="12" t="str">
        <f ca="1">IFERROR(__xludf.DUMMYFUNCTION("""COMPUTED_VALUE"""),"DVD")</f>
        <v>DVD</v>
      </c>
      <c r="F934" s="12"/>
      <c r="G934" s="12"/>
      <c r="H934" s="12"/>
      <c r="I934" s="12"/>
      <c r="J934" s="12"/>
      <c r="K934" s="13">
        <f ca="1">IFERROR(__xludf.DUMMYFUNCTION("""COMPUTED_VALUE"""),42019)</f>
        <v>42019</v>
      </c>
      <c r="L934" s="12"/>
      <c r="M934" s="12"/>
      <c r="N934" s="12" t="str">
        <f ca="1">IFERROR(__xludf.DUMMYFUNCTION("""COMPUTED_VALUE"""),"Table2")</f>
        <v>Table2</v>
      </c>
    </row>
    <row r="935" spans="1:14" ht="15.75" customHeight="1" x14ac:dyDescent="0.35">
      <c r="A935" s="12"/>
      <c r="B935" s="12"/>
      <c r="C935" s="12" t="str">
        <f ca="1">IFERROR(__xludf.DUMMYFUNCTION("""COMPUTED_VALUE"""),"Pilgrim's Progress")</f>
        <v>Pilgrim's Progress</v>
      </c>
      <c r="D935" s="12"/>
      <c r="E935" s="12" t="str">
        <f ca="1">IFERROR(__xludf.DUMMYFUNCTION("""COMPUTED_VALUE"""),"DVD")</f>
        <v>DVD</v>
      </c>
      <c r="F935" s="12"/>
      <c r="G935" s="12"/>
      <c r="H935" s="12"/>
      <c r="I935" s="12"/>
      <c r="J935" s="12"/>
      <c r="K935" s="13">
        <f ca="1">IFERROR(__xludf.DUMMYFUNCTION("""COMPUTED_VALUE"""),41986)</f>
        <v>41986</v>
      </c>
      <c r="L935" s="12"/>
      <c r="M935" s="12"/>
      <c r="N935" s="12" t="str">
        <f ca="1">IFERROR(__xludf.DUMMYFUNCTION("""COMPUTED_VALUE"""),"Table2")</f>
        <v>Table2</v>
      </c>
    </row>
    <row r="936" spans="1:14" ht="15.75" customHeight="1" x14ac:dyDescent="0.35">
      <c r="A936" s="12"/>
      <c r="B936" s="12"/>
      <c r="C936" s="12" t="str">
        <f ca="1">IFERROR(__xludf.DUMMYFUNCTION("""COMPUTED_VALUE"""),"The Pleasures of God")</f>
        <v>The Pleasures of God</v>
      </c>
      <c r="D936" s="12"/>
      <c r="E936" s="12" t="str">
        <f ca="1">IFERROR(__xludf.DUMMYFUNCTION("""COMPUTED_VALUE"""),"DVD")</f>
        <v>DVD</v>
      </c>
      <c r="F936" s="12"/>
      <c r="G936" s="12"/>
      <c r="H936" s="12"/>
      <c r="I936" s="12"/>
      <c r="J936" s="12"/>
      <c r="K936" s="13">
        <f ca="1">IFERROR(__xludf.DUMMYFUNCTION("""COMPUTED_VALUE"""),43704)</f>
        <v>43704</v>
      </c>
      <c r="L936" s="12"/>
      <c r="M936" s="12" t="str">
        <f ca="1">IFERROR(__xludf.DUMMYFUNCTION("""COMPUTED_VALUE"""),"Piper, John")</f>
        <v>Piper, John</v>
      </c>
      <c r="N936" s="12" t="str">
        <f ca="1">IFERROR(__xludf.DUMMYFUNCTION("""COMPUTED_VALUE"""),"Table2")</f>
        <v>Table2</v>
      </c>
    </row>
    <row r="937" spans="1:14" ht="15.75" customHeight="1" x14ac:dyDescent="0.35">
      <c r="A937" s="12"/>
      <c r="B937" s="12"/>
      <c r="C937" s="12" t="str">
        <f ca="1">IFERROR(__xludf.DUMMYFUNCTION("""COMPUTED_VALUE"""),"The Prodigal")</f>
        <v>The Prodigal</v>
      </c>
      <c r="D937" s="12"/>
      <c r="E937" s="12" t="str">
        <f ca="1">IFERROR(__xludf.DUMMYFUNCTION("""COMPUTED_VALUE"""),"DVD")</f>
        <v>DVD</v>
      </c>
      <c r="F937" s="12"/>
      <c r="G937" s="12"/>
      <c r="H937" s="12"/>
      <c r="I937" s="12"/>
      <c r="J937" s="12"/>
      <c r="K937" s="13">
        <f ca="1">IFERROR(__xludf.DUMMYFUNCTION("""COMPUTED_VALUE"""),41426)</f>
        <v>41426</v>
      </c>
      <c r="L937" s="12"/>
      <c r="M937" s="12"/>
      <c r="N937" s="12" t="str">
        <f ca="1">IFERROR(__xludf.DUMMYFUNCTION("""COMPUTED_VALUE"""),"Table2")</f>
        <v>Table2</v>
      </c>
    </row>
    <row r="938" spans="1:14" ht="15.75" customHeight="1" x14ac:dyDescent="0.35">
      <c r="A938" s="12"/>
      <c r="B938" s="12"/>
      <c r="C938" s="12" t="str">
        <f ca="1">IFERROR(__xludf.DUMMYFUNCTION("""COMPUTED_VALUE"""),"The Protestant Revolt (Westminster)")</f>
        <v>The Protestant Revolt (Westminster)</v>
      </c>
      <c r="D938" s="12"/>
      <c r="E938" s="12" t="str">
        <f ca="1">IFERROR(__xludf.DUMMYFUNCTION("""COMPUTED_VALUE"""),"DVD")</f>
        <v>DVD</v>
      </c>
      <c r="F938" s="12"/>
      <c r="G938" s="12"/>
      <c r="H938" s="12"/>
      <c r="I938" s="12"/>
      <c r="J938" s="12"/>
      <c r="K938" s="13">
        <f ca="1">IFERROR(__xludf.DUMMYFUNCTION("""COMPUTED_VALUE"""),41773)</f>
        <v>41773</v>
      </c>
      <c r="L938" s="12"/>
      <c r="M938" s="12"/>
      <c r="N938" s="12" t="str">
        <f ca="1">IFERROR(__xludf.DUMMYFUNCTION("""COMPUTED_VALUE"""),"Table2")</f>
        <v>Table2</v>
      </c>
    </row>
    <row r="939" spans="1:14" ht="15.75" customHeight="1" x14ac:dyDescent="0.35">
      <c r="A939" s="12"/>
      <c r="B939" s="12"/>
      <c r="C939" s="12" t="str">
        <f ca="1">IFERROR(__xludf.DUMMYFUNCTION("""COMPUTED_VALUE"""),"Providence")</f>
        <v>Providence</v>
      </c>
      <c r="D939" s="12"/>
      <c r="E939" s="12" t="str">
        <f ca="1">IFERROR(__xludf.DUMMYFUNCTION("""COMPUTED_VALUE"""),"DVD")</f>
        <v>DVD</v>
      </c>
      <c r="F939" s="12"/>
      <c r="G939" s="12"/>
      <c r="H939" s="12"/>
      <c r="I939" s="12"/>
      <c r="J939" s="12"/>
      <c r="K939" s="13"/>
      <c r="L939" s="12"/>
      <c r="M939" s="12" t="str">
        <f ca="1">IFERROR(__xludf.DUMMYFUNCTION("""COMPUTED_VALUE"""),"Alliance of Confessing Evangelicals - Princeton Conference")</f>
        <v>Alliance of Confessing Evangelicals - Princeton Conference</v>
      </c>
      <c r="N939" s="12" t="str">
        <f ca="1">IFERROR(__xludf.DUMMYFUNCTION("""COMPUTED_VALUE"""),"Table2")</f>
        <v>Table2</v>
      </c>
    </row>
    <row r="940" spans="1:14" ht="15.75" customHeight="1" x14ac:dyDescent="0.35">
      <c r="A940" s="12"/>
      <c r="B940" s="12"/>
      <c r="C940" s="12" t="str">
        <f ca="1">IFERROR(__xludf.DUMMYFUNCTION("""COMPUTED_VALUE"""),"The Radicals")</f>
        <v>The Radicals</v>
      </c>
      <c r="D940" s="12"/>
      <c r="E940" s="12" t="str">
        <f ca="1">IFERROR(__xludf.DUMMYFUNCTION("""COMPUTED_VALUE"""),"DVD")</f>
        <v>DVD</v>
      </c>
      <c r="F940" s="12"/>
      <c r="G940" s="12"/>
      <c r="H940" s="12"/>
      <c r="I940" s="12"/>
      <c r="J940" s="12"/>
      <c r="K940" s="13">
        <f ca="1">IFERROR(__xludf.DUMMYFUNCTION("""COMPUTED_VALUE"""),40827)</f>
        <v>40827</v>
      </c>
      <c r="L940" s="12"/>
      <c r="M940" s="12"/>
      <c r="N940" s="12" t="str">
        <f ca="1">IFERROR(__xludf.DUMMYFUNCTION("""COMPUTED_VALUE"""),"Table2")</f>
        <v>Table2</v>
      </c>
    </row>
    <row r="941" spans="1:14" ht="15.75" customHeight="1" x14ac:dyDescent="0.35">
      <c r="A941" s="12"/>
      <c r="B941" s="12"/>
      <c r="C941" s="12" t="str">
        <f ca="1">IFERROR(__xludf.DUMMYFUNCTION("""COMPUTED_VALUE"""),"Race to Freedom: The Underground Railroad")</f>
        <v>Race to Freedom: The Underground Railroad</v>
      </c>
      <c r="D941" s="12"/>
      <c r="E941" s="12" t="str">
        <f ca="1">IFERROR(__xludf.DUMMYFUNCTION("""COMPUTED_VALUE"""),"DVD")</f>
        <v>DVD</v>
      </c>
      <c r="F941" s="12"/>
      <c r="G941" s="12"/>
      <c r="H941" s="12"/>
      <c r="I941" s="12"/>
      <c r="J941" s="12"/>
      <c r="K941" s="13">
        <f ca="1">IFERROR(__xludf.DUMMYFUNCTION("""COMPUTED_VALUE"""),44578)</f>
        <v>44578</v>
      </c>
      <c r="L941" s="12"/>
      <c r="M941" s="12"/>
      <c r="N941" s="12" t="str">
        <f ca="1">IFERROR(__xludf.DUMMYFUNCTION("""COMPUTED_VALUE"""),"Table2")</f>
        <v>Table2</v>
      </c>
    </row>
    <row r="942" spans="1:14" ht="15.75" customHeight="1" x14ac:dyDescent="0.35">
      <c r="A942" s="12"/>
      <c r="B942" s="12"/>
      <c r="C942" s="12" t="str">
        <f ca="1">IFERROR(__xludf.DUMMYFUNCTION("""COMPUTED_VALUE"""),"The Reason for God")</f>
        <v>The Reason for God</v>
      </c>
      <c r="D942" s="12"/>
      <c r="E942" s="12" t="str">
        <f ca="1">IFERROR(__xludf.DUMMYFUNCTION("""COMPUTED_VALUE"""),"DVD")</f>
        <v>DVD</v>
      </c>
      <c r="F942" s="12"/>
      <c r="G942" s="12"/>
      <c r="H942" s="12"/>
      <c r="I942" s="12"/>
      <c r="J942" s="12"/>
      <c r="K942" s="13">
        <f ca="1">IFERROR(__xludf.DUMMYFUNCTION("""COMPUTED_VALUE"""),43040)</f>
        <v>43040</v>
      </c>
      <c r="L942" s="12"/>
      <c r="M942" s="12"/>
      <c r="N942" s="12" t="str">
        <f ca="1">IFERROR(__xludf.DUMMYFUNCTION("""COMPUTED_VALUE"""),"Table2")</f>
        <v>Table2</v>
      </c>
    </row>
    <row r="943" spans="1:14" ht="15.75" customHeight="1" x14ac:dyDescent="0.35">
      <c r="A943" s="12"/>
      <c r="B943" s="12"/>
      <c r="C943" s="12" t="str">
        <f ca="1">IFERROR(__xludf.DUMMYFUNCTION("""COMPUTED_VALUE"""),"Relevance of Genesis")</f>
        <v>Relevance of Genesis</v>
      </c>
      <c r="D943" s="12"/>
      <c r="E943" s="12" t="str">
        <f ca="1">IFERROR(__xludf.DUMMYFUNCTION("""COMPUTED_VALUE"""),"DVD")</f>
        <v>DVD</v>
      </c>
      <c r="F943" s="12"/>
      <c r="G943" s="12"/>
      <c r="H943" s="12"/>
      <c r="I943" s="12"/>
      <c r="J943" s="12"/>
      <c r="K943" s="13">
        <f ca="1">IFERROR(__xludf.DUMMYFUNCTION("""COMPUTED_VALUE"""),42511)</f>
        <v>42511</v>
      </c>
      <c r="L943" s="12"/>
      <c r="M943" s="12"/>
      <c r="N943" s="12" t="str">
        <f ca="1">IFERROR(__xludf.DUMMYFUNCTION("""COMPUTED_VALUE"""),"Table2")</f>
        <v>Table2</v>
      </c>
    </row>
    <row r="944" spans="1:14" ht="15.75" customHeight="1" x14ac:dyDescent="0.35">
      <c r="A944" s="12"/>
      <c r="B944" s="12"/>
      <c r="C944" s="12" t="str">
        <f ca="1">IFERROR(__xludf.DUMMYFUNCTION("""COMPUTED_VALUE"""),"Return to the Hiding Place &amp; The Hiding Place (2 DVDs)")</f>
        <v>Return to the Hiding Place &amp; The Hiding Place (2 DVDs)</v>
      </c>
      <c r="D944" s="12"/>
      <c r="E944" s="12" t="str">
        <f ca="1">IFERROR(__xludf.DUMMYFUNCTION("""COMPUTED_VALUE"""),"DVD")</f>
        <v>DVD</v>
      </c>
      <c r="F944" s="12"/>
      <c r="G944" s="12"/>
      <c r="H944" s="12"/>
      <c r="I944" s="12"/>
      <c r="J944" s="12"/>
      <c r="K944" s="13">
        <f ca="1">IFERROR(__xludf.DUMMYFUNCTION("""COMPUTED_VALUE"""),44240)</f>
        <v>44240</v>
      </c>
      <c r="L944" s="12"/>
      <c r="M944" s="12"/>
      <c r="N944" s="12" t="str">
        <f ca="1">IFERROR(__xludf.DUMMYFUNCTION("""COMPUTED_VALUE"""),"Table2")</f>
        <v>Table2</v>
      </c>
    </row>
    <row r="945" spans="1:14" ht="15.75" customHeight="1" x14ac:dyDescent="0.35">
      <c r="A945" s="12"/>
      <c r="B945" s="12"/>
      <c r="C945" s="12" t="str">
        <f ca="1">IFERROR(__xludf.DUMMYFUNCTION("""COMPUTED_VALUE"""),"The Ride")</f>
        <v>The Ride</v>
      </c>
      <c r="D945" s="12"/>
      <c r="E945" s="12" t="str">
        <f ca="1">IFERROR(__xludf.DUMMYFUNCTION("""COMPUTED_VALUE"""),"DVD")</f>
        <v>DVD</v>
      </c>
      <c r="F945" s="12"/>
      <c r="G945" s="12"/>
      <c r="H945" s="12"/>
      <c r="I945" s="12"/>
      <c r="J945" s="12"/>
      <c r="K945" s="13"/>
      <c r="L945" s="12"/>
      <c r="M945" s="12"/>
      <c r="N945" s="12" t="str">
        <f ca="1">IFERROR(__xludf.DUMMYFUNCTION("""COMPUTED_VALUE"""),"Table2")</f>
        <v>Table2</v>
      </c>
    </row>
    <row r="946" spans="1:14" ht="15.75" customHeight="1" x14ac:dyDescent="0.35">
      <c r="A946" s="12"/>
      <c r="B946" s="12"/>
      <c r="C946" s="12" t="str">
        <f ca="1">IFERROR(__xludf.DUMMYFUNCTION("""COMPUTED_VALUE"""),"Road to Emmaus")</f>
        <v>Road to Emmaus</v>
      </c>
      <c r="D946" s="12"/>
      <c r="E946" s="12" t="str">
        <f ca="1">IFERROR(__xludf.DUMMYFUNCTION("""COMPUTED_VALUE"""),"DVD")</f>
        <v>DVD</v>
      </c>
      <c r="F946" s="12"/>
      <c r="G946" s="12"/>
      <c r="H946" s="12"/>
      <c r="I946" s="12"/>
      <c r="J946" s="12"/>
      <c r="K946" s="13">
        <f ca="1">IFERROR(__xludf.DUMMYFUNCTION("""COMPUTED_VALUE"""),42019)</f>
        <v>42019</v>
      </c>
      <c r="L946" s="12" t="str">
        <f ca="1">IFERROR(__xludf.DUMMYFUNCTION("""COMPUTED_VALUE"""),"Checked out on 5/30/18; follow up on whether this was returned")</f>
        <v>Checked out on 5/30/18; follow up on whether this was returned</v>
      </c>
      <c r="M946" s="12"/>
      <c r="N946" s="12" t="str">
        <f ca="1">IFERROR(__xludf.DUMMYFUNCTION("""COMPUTED_VALUE"""),"Table2")</f>
        <v>Table2</v>
      </c>
    </row>
    <row r="947" spans="1:14" ht="15.75" customHeight="1" x14ac:dyDescent="0.35">
      <c r="A947" s="12"/>
      <c r="B947" s="12"/>
      <c r="C947" s="12" t="str">
        <f ca="1">IFERROR(__xludf.DUMMYFUNCTION("""COMPUTED_VALUE"""),"Robber of the Cruel Streets: The Prayerful Life of George Muller")</f>
        <v>Robber of the Cruel Streets: The Prayerful Life of George Muller</v>
      </c>
      <c r="D947" s="12"/>
      <c r="E947" s="12" t="str">
        <f ca="1">IFERROR(__xludf.DUMMYFUNCTION("""COMPUTED_VALUE"""),"DVD")</f>
        <v>DVD</v>
      </c>
      <c r="F947" s="12"/>
      <c r="G947" s="12"/>
      <c r="H947" s="12"/>
      <c r="I947" s="12"/>
      <c r="J947" s="12"/>
      <c r="K947" s="13">
        <f ca="1">IFERROR(__xludf.DUMMYFUNCTION("""COMPUTED_VALUE"""),40705)</f>
        <v>40705</v>
      </c>
      <c r="L947" s="12"/>
      <c r="M947" s="12"/>
      <c r="N947" s="12" t="str">
        <f ca="1">IFERROR(__xludf.DUMMYFUNCTION("""COMPUTED_VALUE"""),"Table2")</f>
        <v>Table2</v>
      </c>
    </row>
    <row r="948" spans="1:14" ht="15.75" customHeight="1" x14ac:dyDescent="0.35">
      <c r="A948" s="12"/>
      <c r="B948" s="12"/>
      <c r="C948" s="12" t="str">
        <f ca="1">IFERROR(__xludf.DUMMYFUNCTION("""COMPUTED_VALUE"""),"The Sabbath and Why We Worship on Sunday")</f>
        <v>The Sabbath and Why We Worship on Sunday</v>
      </c>
      <c r="D948" s="12"/>
      <c r="E948" s="12" t="str">
        <f ca="1">IFERROR(__xludf.DUMMYFUNCTION("""COMPUTED_VALUE"""),"DVD")</f>
        <v>DVD</v>
      </c>
      <c r="F948" s="12"/>
      <c r="G948" s="12"/>
      <c r="H948" s="12"/>
      <c r="I948" s="12"/>
      <c r="J948" s="12"/>
      <c r="K948" s="13">
        <f ca="1">IFERROR(__xludf.DUMMYFUNCTION("""COMPUTED_VALUE"""),41712)</f>
        <v>41712</v>
      </c>
      <c r="L948" s="12"/>
      <c r="M948" s="12"/>
      <c r="N948" s="12" t="str">
        <f ca="1">IFERROR(__xludf.DUMMYFUNCTION("""COMPUTED_VALUE"""),"Table2")</f>
        <v>Table2</v>
      </c>
    </row>
    <row r="949" spans="1:14" ht="15.75" customHeight="1" x14ac:dyDescent="0.35">
      <c r="A949" s="12"/>
      <c r="B949" s="12"/>
      <c r="C949" s="12" t="str">
        <f ca="1">IFERROR(__xludf.DUMMYFUNCTION("""COMPUTED_VALUE"""),"Science Confirms the Bible")</f>
        <v>Science Confirms the Bible</v>
      </c>
      <c r="D949" s="12"/>
      <c r="E949" s="12" t="str">
        <f ca="1">IFERROR(__xludf.DUMMYFUNCTION("""COMPUTED_VALUE"""),"DVD")</f>
        <v>DVD</v>
      </c>
      <c r="F949" s="12"/>
      <c r="G949" s="12"/>
      <c r="H949" s="12"/>
      <c r="I949" s="12"/>
      <c r="J949" s="12"/>
      <c r="K949" s="13">
        <f ca="1">IFERROR(__xludf.DUMMYFUNCTION("""COMPUTED_VALUE"""),42511)</f>
        <v>42511</v>
      </c>
      <c r="L949" s="12"/>
      <c r="M949" s="12"/>
      <c r="N949" s="12" t="str">
        <f ca="1">IFERROR(__xludf.DUMMYFUNCTION("""COMPUTED_VALUE"""),"Table2")</f>
        <v>Table2</v>
      </c>
    </row>
    <row r="950" spans="1:14" ht="15.75" customHeight="1" x14ac:dyDescent="0.35">
      <c r="A950" s="12"/>
      <c r="B950" s="12"/>
      <c r="C950" s="12" t="str">
        <f ca="1">IFERROR(__xludf.DUMMYFUNCTION("""COMPUTED_VALUE"""),"Scribbling in the Sand")</f>
        <v>Scribbling in the Sand</v>
      </c>
      <c r="D950" s="12"/>
      <c r="E950" s="12" t="str">
        <f ca="1">IFERROR(__xludf.DUMMYFUNCTION("""COMPUTED_VALUE"""),"DVD")</f>
        <v>DVD</v>
      </c>
      <c r="F950" s="12"/>
      <c r="G950" s="12"/>
      <c r="H950" s="12"/>
      <c r="I950" s="12"/>
      <c r="J950" s="12"/>
      <c r="K950" s="13">
        <f ca="1">IFERROR(__xludf.DUMMYFUNCTION("""COMPUTED_VALUE"""),42511)</f>
        <v>42511</v>
      </c>
      <c r="L950" s="12"/>
      <c r="M950" s="12" t="str">
        <f ca="1">IFERROR(__xludf.DUMMYFUNCTION("""COMPUTED_VALUE"""),"Michael Card")</f>
        <v>Michael Card</v>
      </c>
      <c r="N950" s="12" t="str">
        <f ca="1">IFERROR(__xludf.DUMMYFUNCTION("""COMPUTED_VALUE"""),"Table2")</f>
        <v>Table2</v>
      </c>
    </row>
    <row r="951" spans="1:14" ht="15.75" customHeight="1" x14ac:dyDescent="0.35">
      <c r="A951" s="12"/>
      <c r="B951" s="12"/>
      <c r="C951" s="12" t="str">
        <f ca="1">IFERROR(__xludf.DUMMYFUNCTION("""COMPUTED_VALUE"""),"The Secrets of Jonathan Sperry")</f>
        <v>The Secrets of Jonathan Sperry</v>
      </c>
      <c r="D951" s="12"/>
      <c r="E951" s="12" t="str">
        <f ca="1">IFERROR(__xludf.DUMMYFUNCTION("""COMPUTED_VALUE"""),"DVD")</f>
        <v>DVD</v>
      </c>
      <c r="F951" s="12"/>
      <c r="G951" s="12"/>
      <c r="H951" s="12"/>
      <c r="I951" s="12"/>
      <c r="J951" s="12"/>
      <c r="K951" s="13">
        <f ca="1">IFERROR(__xludf.DUMMYFUNCTION("""COMPUTED_VALUE"""),40554)</f>
        <v>40554</v>
      </c>
      <c r="L951" s="12"/>
      <c r="M951" s="12"/>
      <c r="N951" s="12" t="str">
        <f ca="1">IFERROR(__xludf.DUMMYFUNCTION("""COMPUTED_VALUE"""),"Table2")</f>
        <v>Table2</v>
      </c>
    </row>
    <row r="952" spans="1:14" ht="15.75" customHeight="1" x14ac:dyDescent="0.35">
      <c r="A952" s="12"/>
      <c r="B952" s="12"/>
      <c r="C952" s="12" t="str">
        <f ca="1">IFERROR(__xludf.DUMMYFUNCTION("""COMPUTED_VALUE"""),"Sheffey")</f>
        <v>Sheffey</v>
      </c>
      <c r="D952" s="12"/>
      <c r="E952" s="12" t="str">
        <f ca="1">IFERROR(__xludf.DUMMYFUNCTION("""COMPUTED_VALUE"""),"DVD")</f>
        <v>DVD</v>
      </c>
      <c r="F952" s="12"/>
      <c r="G952" s="12"/>
      <c r="H952" s="12"/>
      <c r="I952" s="12"/>
      <c r="J952" s="12"/>
      <c r="K952" s="13">
        <f ca="1">IFERROR(__xludf.DUMMYFUNCTION("""COMPUTED_VALUE"""),40036)</f>
        <v>40036</v>
      </c>
      <c r="L952" s="12"/>
      <c r="M952" s="12"/>
      <c r="N952" s="12" t="str">
        <f ca="1">IFERROR(__xludf.DUMMYFUNCTION("""COMPUTED_VALUE"""),"Table2")</f>
        <v>Table2</v>
      </c>
    </row>
    <row r="953" spans="1:14" ht="15.75" customHeight="1" x14ac:dyDescent="0.35">
      <c r="A953" s="12"/>
      <c r="B953" s="12"/>
      <c r="C953" s="12" t="str">
        <f ca="1">IFERROR(__xludf.DUMMYFUNCTION("""COMPUTED_VALUE"""),"Sing Over Me")</f>
        <v>Sing Over Me</v>
      </c>
      <c r="D953" s="12"/>
      <c r="E953" s="12" t="str">
        <f ca="1">IFERROR(__xludf.DUMMYFUNCTION("""COMPUTED_VALUE"""),"DVD")</f>
        <v>DVD</v>
      </c>
      <c r="F953" s="12"/>
      <c r="G953" s="12"/>
      <c r="H953" s="12"/>
      <c r="I953" s="12"/>
      <c r="J953" s="12"/>
      <c r="K953" s="13">
        <f ca="1">IFERROR(__xludf.DUMMYFUNCTION("""COMPUTED_VALUE"""),42353)</f>
        <v>42353</v>
      </c>
      <c r="L953" s="12"/>
      <c r="M953" s="12" t="str">
        <f ca="1">IFERROR(__xludf.DUMMYFUNCTION("""COMPUTED_VALUE"""),"Jernigan, Dennis")</f>
        <v>Jernigan, Dennis</v>
      </c>
      <c r="N953" s="12" t="str">
        <f ca="1">IFERROR(__xludf.DUMMYFUNCTION("""COMPUTED_VALUE"""),"Table2")</f>
        <v>Table2</v>
      </c>
    </row>
    <row r="954" spans="1:14" ht="15.75" customHeight="1" x14ac:dyDescent="0.35">
      <c r="A954" s="12"/>
      <c r="B954" s="12"/>
      <c r="C954" s="12" t="str">
        <f ca="1">IFERROR(__xludf.DUMMYFUNCTION("""COMPUTED_VALUE"""),"Six Steps to Loving Your Church")</f>
        <v>Six Steps to Loving Your Church</v>
      </c>
      <c r="D954" s="12"/>
      <c r="E954" s="12" t="str">
        <f ca="1">IFERROR(__xludf.DUMMYFUNCTION("""COMPUTED_VALUE"""),"DVD")</f>
        <v>DVD</v>
      </c>
      <c r="F954" s="12"/>
      <c r="G954" s="12"/>
      <c r="H954" s="12"/>
      <c r="I954" s="12"/>
      <c r="J954" s="12"/>
      <c r="K954" s="13">
        <f ca="1">IFERROR(__xludf.DUMMYFUNCTION("""COMPUTED_VALUE"""),42966)</f>
        <v>42966</v>
      </c>
      <c r="L954" s="12"/>
      <c r="M954" s="12"/>
      <c r="N954" s="12" t="str">
        <f ca="1">IFERROR(__xludf.DUMMYFUNCTION("""COMPUTED_VALUE"""),"Table2")</f>
        <v>Table2</v>
      </c>
    </row>
    <row r="955" spans="1:14" ht="15.75" customHeight="1" x14ac:dyDescent="0.35">
      <c r="A955" s="12"/>
      <c r="B955" s="12"/>
      <c r="C955" s="12" t="str">
        <f ca="1">IFERROR(__xludf.DUMMYFUNCTION("""COMPUTED_VALUE"""),"Soul (Study of Mark)")</f>
        <v>Soul (Study of Mark)</v>
      </c>
      <c r="D955" s="12"/>
      <c r="E955" s="12" t="str">
        <f ca="1">IFERROR(__xludf.DUMMYFUNCTION("""COMPUTED_VALUE"""),"DVD")</f>
        <v>DVD</v>
      </c>
      <c r="F955" s="12"/>
      <c r="G955" s="12"/>
      <c r="H955" s="12"/>
      <c r="I955" s="12"/>
      <c r="J955" s="12"/>
      <c r="K955" s="13">
        <f ca="1">IFERROR(__xludf.DUMMYFUNCTION("""COMPUTED_VALUE"""),41653)</f>
        <v>41653</v>
      </c>
      <c r="L955" s="12"/>
      <c r="M955" s="12"/>
      <c r="N955" s="12" t="str">
        <f ca="1">IFERROR(__xludf.DUMMYFUNCTION("""COMPUTED_VALUE"""),"Table2")</f>
        <v>Table2</v>
      </c>
    </row>
    <row r="956" spans="1:14" ht="15.75" customHeight="1" x14ac:dyDescent="0.35">
      <c r="A956" s="12"/>
      <c r="B956" s="12"/>
      <c r="C956" s="12" t="str">
        <f ca="1">IFERROR(__xludf.DUMMYFUNCTION("""COMPUTED_VALUE"""),"Spreading Flame, The Part 1:  Comes the Dawn")</f>
        <v>Spreading Flame, The Part 1:  Comes the Dawn</v>
      </c>
      <c r="D956" s="12"/>
      <c r="E956" s="12" t="str">
        <f ca="1">IFERROR(__xludf.DUMMYFUNCTION("""COMPUTED_VALUE"""),"DVD")</f>
        <v>DVD</v>
      </c>
      <c r="F956" s="12"/>
      <c r="G956" s="12"/>
      <c r="H956" s="12"/>
      <c r="I956" s="12"/>
      <c r="J956" s="12"/>
      <c r="K956" s="13">
        <f ca="1">IFERROR(__xludf.DUMMYFUNCTION("""COMPUTED_VALUE"""),40188)</f>
        <v>40188</v>
      </c>
      <c r="L956" s="12"/>
      <c r="M956" s="12"/>
      <c r="N956" s="12" t="str">
        <f ca="1">IFERROR(__xludf.DUMMYFUNCTION("""COMPUTED_VALUE"""),"Table2")</f>
        <v>Table2</v>
      </c>
    </row>
    <row r="957" spans="1:14" ht="15.75" customHeight="1" x14ac:dyDescent="0.35">
      <c r="A957" s="12"/>
      <c r="B957" s="12"/>
      <c r="C957" s="12" t="str">
        <f ca="1">IFERROR(__xludf.DUMMYFUNCTION("""COMPUTED_VALUE"""),"Spreading Flame, The Part 2:  Story of the Bible")</f>
        <v>Spreading Flame, The Part 2:  Story of the Bible</v>
      </c>
      <c r="D957" s="12"/>
      <c r="E957" s="12" t="str">
        <f ca="1">IFERROR(__xludf.DUMMYFUNCTION("""COMPUTED_VALUE"""),"DVD")</f>
        <v>DVD</v>
      </c>
      <c r="F957" s="12"/>
      <c r="G957" s="12"/>
      <c r="H957" s="12"/>
      <c r="I957" s="12"/>
      <c r="J957" s="12"/>
      <c r="K957" s="13">
        <f ca="1">IFERROR(__xludf.DUMMYFUNCTION("""COMPUTED_VALUE"""),40188)</f>
        <v>40188</v>
      </c>
      <c r="L957" s="12"/>
      <c r="M957" s="12"/>
      <c r="N957" s="12" t="str">
        <f ca="1">IFERROR(__xludf.DUMMYFUNCTION("""COMPUTED_VALUE"""),"Table2")</f>
        <v>Table2</v>
      </c>
    </row>
    <row r="958" spans="1:14" ht="15.75" customHeight="1" x14ac:dyDescent="0.35">
      <c r="A958" s="12"/>
      <c r="B958" s="12"/>
      <c r="C958" s="12" t="str">
        <f ca="1">IFERROR(__xludf.DUMMYFUNCTION("""COMPUTED_VALUE"""),"Spreading Flame, The Part 3: Champions of Freedom")</f>
        <v>Spreading Flame, The Part 3: Champions of Freedom</v>
      </c>
      <c r="D958" s="12"/>
      <c r="E958" s="12" t="str">
        <f ca="1">IFERROR(__xludf.DUMMYFUNCTION("""COMPUTED_VALUE"""),"DVD")</f>
        <v>DVD</v>
      </c>
      <c r="F958" s="12"/>
      <c r="G958" s="12"/>
      <c r="H958" s="12"/>
      <c r="I958" s="12"/>
      <c r="J958" s="12"/>
      <c r="K958" s="13">
        <f ca="1">IFERROR(__xludf.DUMMYFUNCTION("""COMPUTED_VALUE"""),40188)</f>
        <v>40188</v>
      </c>
      <c r="L958" s="12"/>
      <c r="M958" s="12"/>
      <c r="N958" s="12" t="str">
        <f ca="1">IFERROR(__xludf.DUMMYFUNCTION("""COMPUTED_VALUE"""),"Table2")</f>
        <v>Table2</v>
      </c>
    </row>
    <row r="959" spans="1:14" ht="15.75" customHeight="1" x14ac:dyDescent="0.35">
      <c r="A959" s="12"/>
      <c r="B959" s="12"/>
      <c r="C959" s="12" t="str">
        <f ca="1">IFERROR(__xludf.DUMMYFUNCTION("""COMPUTED_VALUE"""),"Spreading Flame, The Part 4:  Winds of Change, The")</f>
        <v>Spreading Flame, The Part 4:  Winds of Change, The</v>
      </c>
      <c r="D959" s="12"/>
      <c r="E959" s="12" t="str">
        <f ca="1">IFERROR(__xludf.DUMMYFUNCTION("""COMPUTED_VALUE"""),"DVD")</f>
        <v>DVD</v>
      </c>
      <c r="F959" s="12"/>
      <c r="G959" s="12"/>
      <c r="H959" s="12"/>
      <c r="I959" s="12"/>
      <c r="J959" s="12"/>
      <c r="K959" s="13">
        <f ca="1">IFERROR(__xludf.DUMMYFUNCTION("""COMPUTED_VALUE"""),40188)</f>
        <v>40188</v>
      </c>
      <c r="L959" s="12"/>
      <c r="M959" s="12"/>
      <c r="N959" s="12" t="str">
        <f ca="1">IFERROR(__xludf.DUMMYFUNCTION("""COMPUTED_VALUE"""),"Table2")</f>
        <v>Table2</v>
      </c>
    </row>
    <row r="960" spans="1:14" ht="15.75" customHeight="1" x14ac:dyDescent="0.35">
      <c r="A960" s="12"/>
      <c r="B960" s="12"/>
      <c r="C960" s="12" t="str">
        <f ca="1">IFERROR(__xludf.DUMMYFUNCTION("""COMPUTED_VALUE"""),"Spreading Flame, The Part 5: The Reformation Comes of Age")</f>
        <v>Spreading Flame, The Part 5: The Reformation Comes of Age</v>
      </c>
      <c r="D960" s="12"/>
      <c r="E960" s="12" t="str">
        <f ca="1">IFERROR(__xludf.DUMMYFUNCTION("""COMPUTED_VALUE"""),"DVD")</f>
        <v>DVD</v>
      </c>
      <c r="F960" s="12"/>
      <c r="G960" s="12"/>
      <c r="H960" s="12"/>
      <c r="I960" s="12"/>
      <c r="J960" s="12"/>
      <c r="K960" s="13">
        <f ca="1">IFERROR(__xludf.DUMMYFUNCTION("""COMPUTED_VALUE"""),40188)</f>
        <v>40188</v>
      </c>
      <c r="L960" s="12"/>
      <c r="M960" s="12"/>
      <c r="N960" s="12" t="str">
        <f ca="1">IFERROR(__xludf.DUMMYFUNCTION("""COMPUTED_VALUE"""),"Table2")</f>
        <v>Table2</v>
      </c>
    </row>
    <row r="961" spans="1:14" ht="15.75" customHeight="1" x14ac:dyDescent="0.35">
      <c r="A961" s="12"/>
      <c r="B961" s="12"/>
      <c r="C961" s="12" t="str">
        <f ca="1">IFERROR(__xludf.DUMMYFUNCTION("""COMPUTED_VALUE"""),"Stand")</f>
        <v>Stand</v>
      </c>
      <c r="D961" s="12"/>
      <c r="E961" s="12" t="str">
        <f ca="1">IFERROR(__xludf.DUMMYFUNCTION("""COMPUTED_VALUE"""),"DVD")</f>
        <v>DVD</v>
      </c>
      <c r="F961" s="12"/>
      <c r="G961" s="12"/>
      <c r="H961" s="12"/>
      <c r="I961" s="12"/>
      <c r="J961" s="12"/>
      <c r="K961" s="13"/>
      <c r="L961" s="12"/>
      <c r="M961" s="12"/>
      <c r="N961" s="12" t="str">
        <f ca="1">IFERROR(__xludf.DUMMYFUNCTION("""COMPUTED_VALUE"""),"Table2")</f>
        <v>Table2</v>
      </c>
    </row>
    <row r="962" spans="1:14" ht="15.75" customHeight="1" x14ac:dyDescent="0.35">
      <c r="A962" s="12"/>
      <c r="B962" s="12"/>
      <c r="C962" s="12" t="str">
        <f ca="1">IFERROR(__xludf.DUMMYFUNCTION("""COMPUTED_VALUE"""),"Storm and Luther's Forbidden Letter")</f>
        <v>Storm and Luther's Forbidden Letter</v>
      </c>
      <c r="D962" s="12"/>
      <c r="E962" s="12" t="str">
        <f ca="1">IFERROR(__xludf.DUMMYFUNCTION("""COMPUTED_VALUE"""),"DVD")</f>
        <v>DVD</v>
      </c>
      <c r="F962" s="12"/>
      <c r="G962" s="12"/>
      <c r="H962" s="12"/>
      <c r="I962" s="12"/>
      <c r="J962" s="12"/>
      <c r="K962" s="13">
        <f ca="1">IFERROR(__xludf.DUMMYFUNCTION("""COMPUTED_VALUE"""),44578)</f>
        <v>44578</v>
      </c>
      <c r="L962" s="12"/>
      <c r="M962" s="12"/>
      <c r="N962" s="12" t="str">
        <f ca="1">IFERROR(__xludf.DUMMYFUNCTION("""COMPUTED_VALUE"""),"Table2")</f>
        <v>Table2</v>
      </c>
    </row>
    <row r="963" spans="1:14" ht="15.75" customHeight="1" x14ac:dyDescent="0.35">
      <c r="A963" s="12"/>
      <c r="B963" s="12"/>
      <c r="C963" s="12" t="str">
        <f ca="1">IFERROR(__xludf.DUMMYFUNCTION("""COMPUTED_VALUE"""),"Strange Fire  2 Volumes-19 DVDs")</f>
        <v>Strange Fire  2 Volumes-19 DVDs</v>
      </c>
      <c r="D963" s="12"/>
      <c r="E963" s="12" t="str">
        <f ca="1">IFERROR(__xludf.DUMMYFUNCTION("""COMPUTED_VALUE"""),"DVD")</f>
        <v>DVD</v>
      </c>
      <c r="F963" s="12"/>
      <c r="G963" s="12"/>
      <c r="H963" s="12"/>
      <c r="I963" s="12"/>
      <c r="J963" s="12"/>
      <c r="K963" s="13">
        <f ca="1">IFERROR(__xludf.DUMMYFUNCTION("""COMPUTED_VALUE"""),41712)</f>
        <v>41712</v>
      </c>
      <c r="L963" s="12"/>
      <c r="M963" s="12" t="str">
        <f ca="1">IFERROR(__xludf.DUMMYFUNCTION("""COMPUTED_VALUE"""),"MacArthur, John")</f>
        <v>MacArthur, John</v>
      </c>
      <c r="N963" s="12" t="str">
        <f ca="1">IFERROR(__xludf.DUMMYFUNCTION("""COMPUTED_VALUE"""),"Table2")</f>
        <v>Table2</v>
      </c>
    </row>
    <row r="964" spans="1:14" ht="15.75" customHeight="1" x14ac:dyDescent="0.35">
      <c r="A964" s="12"/>
      <c r="B964" s="12"/>
      <c r="C964" s="12" t="str">
        <f ca="1">IFERROR(__xludf.DUMMYFUNCTION("""COMPUTED_VALUE"""),"Suffering and the Sovereignty of God")</f>
        <v>Suffering and the Sovereignty of God</v>
      </c>
      <c r="D964" s="12"/>
      <c r="E964" s="12" t="str">
        <f ca="1">IFERROR(__xludf.DUMMYFUNCTION("""COMPUTED_VALUE"""),"DVD")</f>
        <v>DVD</v>
      </c>
      <c r="F964" s="12"/>
      <c r="G964" s="12"/>
      <c r="H964" s="12"/>
      <c r="I964" s="12"/>
      <c r="J964" s="12"/>
      <c r="K964" s="13"/>
      <c r="L964" s="12" t="str">
        <f ca="1">IFERROR(__xludf.DUMMYFUNCTION("""COMPUTED_VALUE"""),"Checked out on 11/11/18; follow up on whether this was returned")</f>
        <v>Checked out on 11/11/18; follow up on whether this was returned</v>
      </c>
      <c r="M964" s="12"/>
      <c r="N964" s="12" t="str">
        <f ca="1">IFERROR(__xludf.DUMMYFUNCTION("""COMPUTED_VALUE"""),"Table2")</f>
        <v>Table2</v>
      </c>
    </row>
    <row r="965" spans="1:14" ht="15.75" customHeight="1" x14ac:dyDescent="0.35">
      <c r="A965" s="12"/>
      <c r="B965" s="12"/>
      <c r="C965" s="12" t="str">
        <f ca="1">IFERROR(__xludf.DUMMYFUNCTION("""COMPUTED_VALUE"""),"Supremacy of Christ in a Postmodern World (Desiring God 2006 National Conference)")</f>
        <v>Supremacy of Christ in a Postmodern World (Desiring God 2006 National Conference)</v>
      </c>
      <c r="D965" s="12"/>
      <c r="E965" s="12" t="str">
        <f ca="1">IFERROR(__xludf.DUMMYFUNCTION("""COMPUTED_VALUE"""),"DVD")</f>
        <v>DVD</v>
      </c>
      <c r="F965" s="12"/>
      <c r="G965" s="12"/>
      <c r="H965" s="12"/>
      <c r="I965" s="12"/>
      <c r="J965" s="12"/>
      <c r="K965" s="13">
        <f ca="1">IFERROR(__xludf.DUMMYFUNCTION("""COMPUTED_VALUE"""),40037)</f>
        <v>40037</v>
      </c>
      <c r="L965" s="12"/>
      <c r="M965" s="12"/>
      <c r="N965" s="12" t="str">
        <f ca="1">IFERROR(__xludf.DUMMYFUNCTION("""COMPUTED_VALUE"""),"Table2")</f>
        <v>Table2</v>
      </c>
    </row>
    <row r="966" spans="1:14" ht="15.75" customHeight="1" x14ac:dyDescent="0.35">
      <c r="A966" s="12"/>
      <c r="B966" s="12"/>
      <c r="C966" s="12" t="str">
        <f ca="1">IFERROR(__xludf.DUMMYFUNCTION("""COMPUTED_VALUE"""),"Tanglewood's Secret")</f>
        <v>Tanglewood's Secret</v>
      </c>
      <c r="D966" s="12"/>
      <c r="E966" s="12" t="str">
        <f ca="1">IFERROR(__xludf.DUMMYFUNCTION("""COMPUTED_VALUE"""),"DVD")</f>
        <v>DVD</v>
      </c>
      <c r="F966" s="12"/>
      <c r="G966" s="12"/>
      <c r="H966" s="12"/>
      <c r="I966" s="12"/>
      <c r="J966" s="12"/>
      <c r="K966" s="13">
        <f ca="1">IFERROR(__xludf.DUMMYFUNCTION("""COMPUTED_VALUE"""),44578)</f>
        <v>44578</v>
      </c>
      <c r="L966" s="12"/>
      <c r="M966" s="12" t="str">
        <f ca="1">IFERROR(__xludf.DUMMYFUNCTION("""COMPUTED_VALUE"""),"Patricia M. St. John")</f>
        <v>Patricia M. St. John</v>
      </c>
      <c r="N966" s="12" t="str">
        <f ca="1">IFERROR(__xludf.DUMMYFUNCTION("""COMPUTED_VALUE"""),"Table2")</f>
        <v>Table2</v>
      </c>
    </row>
    <row r="967" spans="1:14" ht="15.75" customHeight="1" x14ac:dyDescent="0.35">
      <c r="A967" s="12"/>
      <c r="B967" s="12"/>
      <c r="C967" s="12" t="str">
        <f ca="1">IFERROR(__xludf.DUMMYFUNCTION("""COMPUTED_VALUE"""),"This is Our Time To Seize God's Calling")</f>
        <v>This is Our Time To Seize God's Calling</v>
      </c>
      <c r="D967" s="12"/>
      <c r="E967" s="12" t="str">
        <f ca="1">IFERROR(__xludf.DUMMYFUNCTION("""COMPUTED_VALUE"""),"DVD")</f>
        <v>DVD</v>
      </c>
      <c r="F967" s="12"/>
      <c r="G967" s="12"/>
      <c r="H967" s="12"/>
      <c r="I967" s="12"/>
      <c r="J967" s="12"/>
      <c r="K967" s="13">
        <f ca="1">IFERROR(__xludf.DUMMYFUNCTION("""COMPUTED_VALUE"""),42019)</f>
        <v>42019</v>
      </c>
      <c r="L967" s="12"/>
      <c r="M967" s="12"/>
      <c r="N967" s="12" t="str">
        <f ca="1">IFERROR(__xludf.DUMMYFUNCTION("""COMPUTED_VALUE"""),"Table2")</f>
        <v>Table2</v>
      </c>
    </row>
    <row r="968" spans="1:14" ht="15.75" customHeight="1" x14ac:dyDescent="0.35">
      <c r="A968" s="12"/>
      <c r="B968" s="12"/>
      <c r="C968" s="12" t="str">
        <f ca="1">IFERROR(__xludf.DUMMYFUNCTION("""COMPUTED_VALUE"""),"Though None Go With Me")</f>
        <v>Though None Go With Me</v>
      </c>
      <c r="D968" s="12"/>
      <c r="E968" s="12" t="str">
        <f ca="1">IFERROR(__xludf.DUMMYFUNCTION("""COMPUTED_VALUE"""),"DVD")</f>
        <v>DVD</v>
      </c>
      <c r="F968" s="12"/>
      <c r="G968" s="12"/>
      <c r="H968" s="12"/>
      <c r="I968" s="12"/>
      <c r="J968" s="12"/>
      <c r="K968" s="13">
        <f ca="1">IFERROR(__xludf.DUMMYFUNCTION("""COMPUTED_VALUE"""),42019)</f>
        <v>42019</v>
      </c>
      <c r="L968" s="12"/>
      <c r="M968" s="12"/>
      <c r="N968" s="12" t="str">
        <f ca="1">IFERROR(__xludf.DUMMYFUNCTION("""COMPUTED_VALUE"""),"Table2")</f>
        <v>Table2</v>
      </c>
    </row>
    <row r="969" spans="1:14" ht="15.75" customHeight="1" x14ac:dyDescent="0.35">
      <c r="A969" s="12"/>
      <c r="B969" s="12"/>
      <c r="C969" s="12" t="str">
        <f ca="1">IFERROR(__xludf.DUMMYFUNCTION("""COMPUTED_VALUE"""),"Time Changer")</f>
        <v>Time Changer</v>
      </c>
      <c r="D969" s="12"/>
      <c r="E969" s="12" t="str">
        <f ca="1">IFERROR(__xludf.DUMMYFUNCTION("""COMPUTED_VALUE"""),"DVD")</f>
        <v>DVD</v>
      </c>
      <c r="F969" s="12"/>
      <c r="G969" s="12"/>
      <c r="H969" s="12"/>
      <c r="I969" s="12"/>
      <c r="J969" s="12"/>
      <c r="K969" s="13">
        <f ca="1">IFERROR(__xludf.DUMMYFUNCTION("""COMPUTED_VALUE"""),40038)</f>
        <v>40038</v>
      </c>
      <c r="L969" s="12"/>
      <c r="M969" s="12"/>
      <c r="N969" s="12" t="str">
        <f ca="1">IFERROR(__xludf.DUMMYFUNCTION("""COMPUTED_VALUE"""),"Table2")</f>
        <v>Table2</v>
      </c>
    </row>
    <row r="970" spans="1:14" ht="15.75" customHeight="1" x14ac:dyDescent="0.35">
      <c r="A970" s="12"/>
      <c r="B970" s="12"/>
      <c r="C970" s="12" t="str">
        <f ca="1">IFERROR(__xludf.DUMMYFUNCTION("""COMPUTED_VALUE"""),"The Treasure Map")</f>
        <v>The Treasure Map</v>
      </c>
      <c r="D970" s="12"/>
      <c r="E970" s="12" t="str">
        <f ca="1">IFERROR(__xludf.DUMMYFUNCTION("""COMPUTED_VALUE"""),"DVD")</f>
        <v>DVD</v>
      </c>
      <c r="F970" s="12"/>
      <c r="G970" s="12"/>
      <c r="H970" s="12"/>
      <c r="I970" s="12"/>
      <c r="J970" s="12"/>
      <c r="K970" s="13">
        <f ca="1">IFERROR(__xludf.DUMMYFUNCTION("""COMPUTED_VALUE"""),44578)</f>
        <v>44578</v>
      </c>
      <c r="L970" s="12"/>
      <c r="M970" s="12"/>
      <c r="N970" s="12" t="str">
        <f ca="1">IFERROR(__xludf.DUMMYFUNCTION("""COMPUTED_VALUE"""),"Table2")</f>
        <v>Table2</v>
      </c>
    </row>
    <row r="971" spans="1:14" ht="15.75" customHeight="1" x14ac:dyDescent="0.35">
      <c r="A971" s="12"/>
      <c r="B971" s="12"/>
      <c r="C971" s="12" t="str">
        <f ca="1">IFERROR(__xludf.DUMMYFUNCTION("""COMPUTED_VALUE"""),"Treasures of the Snow: A story of friendship and forgiveness")</f>
        <v>Treasures of the Snow: A story of friendship and forgiveness</v>
      </c>
      <c r="D971" s="12"/>
      <c r="E971" s="12" t="str">
        <f ca="1">IFERROR(__xludf.DUMMYFUNCTION("""COMPUTED_VALUE"""),"DVD")</f>
        <v>DVD</v>
      </c>
      <c r="F971" s="12"/>
      <c r="G971" s="12"/>
      <c r="H971" s="12"/>
      <c r="I971" s="12"/>
      <c r="J971" s="12"/>
      <c r="K971" s="13">
        <f ca="1">IFERROR(__xludf.DUMMYFUNCTION("""COMPUTED_VALUE"""),44578)</f>
        <v>44578</v>
      </c>
      <c r="L971" s="12"/>
      <c r="M971" s="12" t="str">
        <f ca="1">IFERROR(__xludf.DUMMYFUNCTION("""COMPUTED_VALUE"""),"Patricia M. St. John")</f>
        <v>Patricia M. St. John</v>
      </c>
      <c r="N971" s="12" t="str">
        <f ca="1">IFERROR(__xludf.DUMMYFUNCTION("""COMPUTED_VALUE"""),"Table2")</f>
        <v>Table2</v>
      </c>
    </row>
    <row r="972" spans="1:14" ht="15.75" customHeight="1" x14ac:dyDescent="0.35">
      <c r="A972" s="12"/>
      <c r="B972" s="12"/>
      <c r="C972" s="12" t="str">
        <f ca="1">IFERROR(__xludf.DUMMYFUNCTION("""COMPUTED_VALUE"""),"Tulip (DVD with Study Guide Book)")</f>
        <v>Tulip (DVD with Study Guide Book)</v>
      </c>
      <c r="D972" s="12"/>
      <c r="E972" s="12" t="str">
        <f ca="1">IFERROR(__xludf.DUMMYFUNCTION("""COMPUTED_VALUE"""),"DVD")</f>
        <v>DVD</v>
      </c>
      <c r="F972" s="12"/>
      <c r="G972" s="12"/>
      <c r="H972" s="12"/>
      <c r="I972" s="12"/>
      <c r="J972" s="12"/>
      <c r="K972" s="13">
        <f ca="1">IFERROR(__xludf.DUMMYFUNCTION("""COMPUTED_VALUE"""),41653)</f>
        <v>41653</v>
      </c>
      <c r="L972" s="12"/>
      <c r="M972" s="12"/>
      <c r="N972" s="12" t="str">
        <f ca="1">IFERROR(__xludf.DUMMYFUNCTION("""COMPUTED_VALUE"""),"Table2")</f>
        <v>Table2</v>
      </c>
    </row>
    <row r="973" spans="1:14" ht="15.75" customHeight="1" x14ac:dyDescent="0.35">
      <c r="A973" s="12"/>
      <c r="B973" s="12"/>
      <c r="C973" s="12" t="str">
        <f ca="1">IFERROR(__xludf.DUMMYFUNCTION("""COMPUTED_VALUE"""),"Unbroken: The Story Behind the Film")</f>
        <v>Unbroken: The Story Behind the Film</v>
      </c>
      <c r="D973" s="12"/>
      <c r="E973" s="12" t="str">
        <f ca="1">IFERROR(__xludf.DUMMYFUNCTION("""COMPUTED_VALUE"""),"DVD")</f>
        <v>DVD</v>
      </c>
      <c r="F973" s="12"/>
      <c r="G973" s="12"/>
      <c r="H973" s="12"/>
      <c r="I973" s="12"/>
      <c r="J973" s="12"/>
      <c r="K973" s="13">
        <f ca="1">IFERROR(__xludf.DUMMYFUNCTION("""COMPUTED_VALUE"""),44578)</f>
        <v>44578</v>
      </c>
      <c r="L973" s="12"/>
      <c r="M973" s="12"/>
      <c r="N973" s="12" t="str">
        <f ca="1">IFERROR(__xludf.DUMMYFUNCTION("""COMPUTED_VALUE"""),"Table2")</f>
        <v>Table2</v>
      </c>
    </row>
    <row r="974" spans="1:14" ht="15.75" customHeight="1" x14ac:dyDescent="0.35">
      <c r="A974" s="12"/>
      <c r="B974" s="12"/>
      <c r="C974" s="12" t="str">
        <f ca="1">IFERROR(__xludf.DUMMYFUNCTION("""COMPUTED_VALUE"""),"Under Jakob's Ladder")</f>
        <v>Under Jakob's Ladder</v>
      </c>
      <c r="D974" s="12"/>
      <c r="E974" s="12" t="str">
        <f ca="1">IFERROR(__xludf.DUMMYFUNCTION("""COMPUTED_VALUE"""),"DVD")</f>
        <v>DVD</v>
      </c>
      <c r="F974" s="12"/>
      <c r="G974" s="12"/>
      <c r="H974" s="12"/>
      <c r="I974" s="12"/>
      <c r="J974" s="12"/>
      <c r="K974" s="13"/>
      <c r="L974" s="12"/>
      <c r="M974" s="12"/>
      <c r="N974" s="12" t="str">
        <f ca="1">IFERROR(__xludf.DUMMYFUNCTION("""COMPUTED_VALUE"""),"Table2")</f>
        <v>Table2</v>
      </c>
    </row>
    <row r="975" spans="1:14" ht="15.75" customHeight="1" x14ac:dyDescent="0.35">
      <c r="A975" s="12"/>
      <c r="B975" s="12"/>
      <c r="C975" s="12" t="str">
        <f ca="1">IFERROR(__xludf.DUMMYFUNCTION("""COMPUTED_VALUE"""),"Unidentified")</f>
        <v>Unidentified</v>
      </c>
      <c r="D975" s="12"/>
      <c r="E975" s="12" t="str">
        <f ca="1">IFERROR(__xludf.DUMMYFUNCTION("""COMPUTED_VALUE"""),"DVD")</f>
        <v>DVD</v>
      </c>
      <c r="F975" s="12"/>
      <c r="G975" s="12"/>
      <c r="H975" s="12"/>
      <c r="I975" s="12"/>
      <c r="J975" s="12"/>
      <c r="K975" s="13">
        <f ca="1">IFERROR(__xludf.DUMMYFUNCTION("""COMPUTED_VALUE"""),40554)</f>
        <v>40554</v>
      </c>
      <c r="L975" s="12"/>
      <c r="M975" s="12"/>
      <c r="N975" s="12" t="str">
        <f ca="1">IFERROR(__xludf.DUMMYFUNCTION("""COMPUTED_VALUE"""),"Table2")</f>
        <v>Table2</v>
      </c>
    </row>
    <row r="976" spans="1:14" ht="15.75" customHeight="1" x14ac:dyDescent="0.35">
      <c r="A976" s="12"/>
      <c r="B976" s="12"/>
      <c r="C976" s="12" t="str">
        <f ca="1">IFERROR(__xludf.DUMMYFUNCTION("""COMPUTED_VALUE"""),"War Room")</f>
        <v>War Room</v>
      </c>
      <c r="D976" s="12"/>
      <c r="E976" s="12" t="str">
        <f ca="1">IFERROR(__xludf.DUMMYFUNCTION("""COMPUTED_VALUE"""),"DVD")</f>
        <v>DVD</v>
      </c>
      <c r="F976" s="12"/>
      <c r="G976" s="12"/>
      <c r="H976" s="12"/>
      <c r="I976" s="12"/>
      <c r="J976" s="12"/>
      <c r="K976" s="13">
        <f ca="1">IFERROR(__xludf.DUMMYFUNCTION("""COMPUTED_VALUE"""),42385)</f>
        <v>42385</v>
      </c>
      <c r="L976" s="12"/>
      <c r="M976" s="12"/>
      <c r="N976" s="12" t="str">
        <f ca="1">IFERROR(__xludf.DUMMYFUNCTION("""COMPUTED_VALUE"""),"Table2")</f>
        <v>Table2</v>
      </c>
    </row>
    <row r="977" spans="1:14" ht="15.75" customHeight="1" x14ac:dyDescent="0.35">
      <c r="A977" s="12"/>
      <c r="B977" s="12"/>
      <c r="C977" s="12" t="str">
        <f ca="1">IFERROR(__xludf.DUMMYFUNCTION("""COMPUTED_VALUE"""),"Warriors of Honor")</f>
        <v>Warriors of Honor</v>
      </c>
      <c r="D977" s="12"/>
      <c r="E977" s="12" t="str">
        <f ca="1">IFERROR(__xludf.DUMMYFUNCTION("""COMPUTED_VALUE"""),"DVD")</f>
        <v>DVD</v>
      </c>
      <c r="F977" s="12"/>
      <c r="G977" s="12"/>
      <c r="H977" s="12"/>
      <c r="I977" s="12"/>
      <c r="J977" s="12"/>
      <c r="K977" s="13">
        <f ca="1">IFERROR(__xludf.DUMMYFUNCTION("""COMPUTED_VALUE"""),40034)</f>
        <v>40034</v>
      </c>
      <c r="L977" s="12" t="str">
        <f ca="1">IFERROR(__xludf.DUMMYFUNCTION("""COMPUTED_VALUE"""),"Checked out on 6/7/18; follow up on whether this was returned")</f>
        <v>Checked out on 6/7/18; follow up on whether this was returned</v>
      </c>
      <c r="M977" s="12"/>
      <c r="N977" s="12" t="str">
        <f ca="1">IFERROR(__xludf.DUMMYFUNCTION("""COMPUTED_VALUE"""),"Table2")</f>
        <v>Table2</v>
      </c>
    </row>
    <row r="978" spans="1:14" ht="15.75" customHeight="1" x14ac:dyDescent="0.35">
      <c r="A978" s="12"/>
      <c r="B978" s="12"/>
      <c r="C978" s="12" t="str">
        <f ca="1">IFERROR(__xludf.DUMMYFUNCTION("""COMPUTED_VALUE"""),"Wesley: A Heart Transformed Can Change the World")</f>
        <v>Wesley: A Heart Transformed Can Change the World</v>
      </c>
      <c r="D978" s="12"/>
      <c r="E978" s="12" t="str">
        <f ca="1">IFERROR(__xludf.DUMMYFUNCTION("""COMPUTED_VALUE"""),"DVD")</f>
        <v>DVD</v>
      </c>
      <c r="F978" s="12"/>
      <c r="G978" s="12"/>
      <c r="H978" s="12"/>
      <c r="I978" s="12"/>
      <c r="J978" s="12"/>
      <c r="K978" s="13">
        <f ca="1">IFERROR(__xludf.DUMMYFUNCTION("""COMPUTED_VALUE"""),40026)</f>
        <v>40026</v>
      </c>
      <c r="L978" s="12"/>
      <c r="M978" s="12"/>
      <c r="N978" s="12" t="str">
        <f ca="1">IFERROR(__xludf.DUMMYFUNCTION("""COMPUTED_VALUE"""),"Table2")</f>
        <v>Table2</v>
      </c>
    </row>
    <row r="979" spans="1:14" ht="15.75" customHeight="1" x14ac:dyDescent="0.35">
      <c r="A979" s="12"/>
      <c r="B979" s="12"/>
      <c r="C979" s="12" t="str">
        <f ca="1">IFERROR(__xludf.DUMMYFUNCTION("""COMPUTED_VALUE"""),"When Suffering Enters Your Door")</f>
        <v>When Suffering Enters Your Door</v>
      </c>
      <c r="D979" s="12"/>
      <c r="E979" s="12" t="str">
        <f ca="1">IFERROR(__xludf.DUMMYFUNCTION("""COMPUTED_VALUE"""),"DVD")</f>
        <v>DVD</v>
      </c>
      <c r="F979" s="12"/>
      <c r="G979" s="12"/>
      <c r="H979" s="12"/>
      <c r="I979" s="12"/>
      <c r="J979" s="12"/>
      <c r="K979" s="13">
        <f ca="1">IFERROR(__xludf.DUMMYFUNCTION("""COMPUTED_VALUE"""),42231)</f>
        <v>42231</v>
      </c>
      <c r="L979" s="12"/>
      <c r="M979" s="12"/>
      <c r="N979" s="12" t="str">
        <f ca="1">IFERROR(__xludf.DUMMYFUNCTION("""COMPUTED_VALUE"""),"Table2")</f>
        <v>Table2</v>
      </c>
    </row>
    <row r="980" spans="1:14" ht="15.75" customHeight="1" x14ac:dyDescent="0.35">
      <c r="A980" s="12"/>
      <c r="B980" s="12"/>
      <c r="C980" s="12" t="str">
        <f ca="1">IFERROR(__xludf.DUMMYFUNCTION("""COMPUTED_VALUE"""),"When Things Seem Impossible")</f>
        <v>When Things Seem Impossible</v>
      </c>
      <c r="D980" s="12"/>
      <c r="E980" s="12" t="str">
        <f ca="1">IFERROR(__xludf.DUMMYFUNCTION("""COMPUTED_VALUE"""),"DVD")</f>
        <v>DVD</v>
      </c>
      <c r="F980" s="12"/>
      <c r="G980" s="12"/>
      <c r="H980" s="12"/>
      <c r="I980" s="12"/>
      <c r="J980" s="12"/>
      <c r="K980" s="13">
        <f ca="1">IFERROR(__xludf.DUMMYFUNCTION("""COMPUTED_VALUE"""),40827)</f>
        <v>40827</v>
      </c>
      <c r="L980" s="12"/>
      <c r="M980" s="12"/>
      <c r="N980" s="12" t="str">
        <f ca="1">IFERROR(__xludf.DUMMYFUNCTION("""COMPUTED_VALUE"""),"Table2")</f>
        <v>Table2</v>
      </c>
    </row>
    <row r="981" spans="1:14" ht="15.75" customHeight="1" x14ac:dyDescent="0.35">
      <c r="A981" s="12"/>
      <c r="B981" s="12"/>
      <c r="C981" s="12" t="str">
        <f ca="1">IFERROR(__xludf.DUMMYFUNCTION("""COMPUTED_VALUE"""),"The Whole Christ")</f>
        <v>The Whole Christ</v>
      </c>
      <c r="D981" s="12"/>
      <c r="E981" s="12" t="str">
        <f ca="1">IFERROR(__xludf.DUMMYFUNCTION("""COMPUTED_VALUE"""),"DVD")</f>
        <v>DVD</v>
      </c>
      <c r="F981" s="12"/>
      <c r="G981" s="12"/>
      <c r="H981" s="12"/>
      <c r="I981" s="12"/>
      <c r="J981" s="12"/>
      <c r="K981" s="13">
        <f ca="1">IFERROR(__xludf.DUMMYFUNCTION("""COMPUTED_VALUE"""),44240)</f>
        <v>44240</v>
      </c>
      <c r="L981" s="12"/>
      <c r="M981" s="12" t="str">
        <f ca="1">IFERROR(__xludf.DUMMYFUNCTION("""COMPUTED_VALUE"""),"Ferbuson, Sinclair B.")</f>
        <v>Ferbuson, Sinclair B.</v>
      </c>
      <c r="N981" s="12" t="str">
        <f ca="1">IFERROR(__xludf.DUMMYFUNCTION("""COMPUTED_VALUE"""),"Table2")</f>
        <v>Table2</v>
      </c>
    </row>
    <row r="982" spans="1:14" ht="15.75" customHeight="1" x14ac:dyDescent="0.35">
      <c r="A982" s="12"/>
      <c r="B982" s="12"/>
      <c r="C982" s="12" t="str">
        <f ca="1">IFERROR(__xludf.DUMMYFUNCTION("""COMPUTED_VALUE"""),"Why We Believe the Bible")</f>
        <v>Why We Believe the Bible</v>
      </c>
      <c r="D982" s="12"/>
      <c r="E982" s="12" t="str">
        <f ca="1">IFERROR(__xludf.DUMMYFUNCTION("""COMPUTED_VALUE"""),"DVD")</f>
        <v>DVD</v>
      </c>
      <c r="F982" s="12"/>
      <c r="G982" s="12"/>
      <c r="H982" s="12"/>
      <c r="I982" s="12"/>
      <c r="J982" s="12"/>
      <c r="K982" s="13">
        <f ca="1">IFERROR(__xludf.DUMMYFUNCTION("""COMPUTED_VALUE"""),40909)</f>
        <v>40909</v>
      </c>
      <c r="L982" s="12" t="str">
        <f ca="1">IFERROR(__xludf.DUMMYFUNCTION("""COMPUTED_VALUE"""),"Checked out on 4/22/12; follow up on whether this was returned")</f>
        <v>Checked out on 4/22/12; follow up on whether this was returned</v>
      </c>
      <c r="M982" s="12"/>
      <c r="N982" s="12" t="str">
        <f ca="1">IFERROR(__xludf.DUMMYFUNCTION("""COMPUTED_VALUE"""),"Table2")</f>
        <v>Table2</v>
      </c>
    </row>
    <row r="983" spans="1:14" ht="15.75" customHeight="1" x14ac:dyDescent="0.35">
      <c r="A983" s="12"/>
      <c r="B983" s="12"/>
      <c r="C983" s="12" t="str">
        <f ca="1">IFERROR(__xludf.DUMMYFUNCTION("""COMPUTED_VALUE"""),"Why We Trust the Bible")</f>
        <v>Why We Trust the Bible</v>
      </c>
      <c r="D983" s="12"/>
      <c r="E983" s="12" t="str">
        <f ca="1">IFERROR(__xludf.DUMMYFUNCTION("""COMPUTED_VALUE"""),"DVD")</f>
        <v>DVD</v>
      </c>
      <c r="F983" s="12"/>
      <c r="G983" s="12"/>
      <c r="H983" s="12"/>
      <c r="I983" s="12"/>
      <c r="J983" s="12"/>
      <c r="K983" s="13">
        <f ca="1">IFERROR(__xludf.DUMMYFUNCTION("""COMPUTED_VALUE"""),42675)</f>
        <v>42675</v>
      </c>
      <c r="L983" s="12"/>
      <c r="M983" s="12" t="str">
        <f ca="1">IFERROR(__xludf.DUMMYFUNCTION("""COMPUTED_VALUE"""),"Nichols, Stephen")</f>
        <v>Nichols, Stephen</v>
      </c>
      <c r="N983" s="12" t="str">
        <f ca="1">IFERROR(__xludf.DUMMYFUNCTION("""COMPUTED_VALUE"""),"Table2")</f>
        <v>Table2</v>
      </c>
    </row>
    <row r="984" spans="1:14" ht="15.75" customHeight="1" x14ac:dyDescent="0.35">
      <c r="A984" s="12"/>
      <c r="B984" s="12"/>
      <c r="C984" s="12" t="str">
        <f ca="1">IFERROR(__xludf.DUMMYFUNCTION("""COMPUTED_VALUE"""),"Wonders of God's Creation:  Whirling Winds")</f>
        <v>Wonders of God's Creation:  Whirling Winds</v>
      </c>
      <c r="D984" s="12"/>
      <c r="E984" s="12" t="str">
        <f ca="1">IFERROR(__xludf.DUMMYFUNCTION("""COMPUTED_VALUE"""),"DVD")</f>
        <v>DVD</v>
      </c>
      <c r="F984" s="12"/>
      <c r="G984" s="12"/>
      <c r="H984" s="12"/>
      <c r="I984" s="12"/>
      <c r="J984" s="12"/>
      <c r="K984" s="13">
        <f ca="1">IFERROR(__xludf.DUMMYFUNCTION("""COMPUTED_VALUE"""),42019)</f>
        <v>42019</v>
      </c>
      <c r="L984" s="12"/>
      <c r="M984" s="12"/>
      <c r="N984" s="12" t="str">
        <f ca="1">IFERROR(__xludf.DUMMYFUNCTION("""COMPUTED_VALUE"""),"Table2")</f>
        <v>Table2</v>
      </c>
    </row>
    <row r="985" spans="1:14" ht="15.75" customHeight="1" x14ac:dyDescent="0.35">
      <c r="A985" s="12"/>
      <c r="B985" s="12"/>
      <c r="C985" s="12" t="str">
        <f ca="1">IFERROR(__xludf.DUMMYFUNCTION("""COMPUTED_VALUE"""),"Wonders of God's Creation: Animal Kingdom")</f>
        <v>Wonders of God's Creation: Animal Kingdom</v>
      </c>
      <c r="D985" s="12"/>
      <c r="E985" s="12" t="str">
        <f ca="1">IFERROR(__xludf.DUMMYFUNCTION("""COMPUTED_VALUE"""),"DVD")</f>
        <v>DVD</v>
      </c>
      <c r="F985" s="12"/>
      <c r="G985" s="12"/>
      <c r="H985" s="12"/>
      <c r="I985" s="12"/>
      <c r="J985" s="12"/>
      <c r="K985" s="13">
        <f ca="1">IFERROR(__xludf.DUMMYFUNCTION("""COMPUTED_VALUE"""),42019)</f>
        <v>42019</v>
      </c>
      <c r="L985" s="12"/>
      <c r="M985" s="12"/>
      <c r="N985" s="12" t="str">
        <f ca="1">IFERROR(__xludf.DUMMYFUNCTION("""COMPUTED_VALUE"""),"Table2")</f>
        <v>Table2</v>
      </c>
    </row>
    <row r="986" spans="1:14" ht="15.75" customHeight="1" x14ac:dyDescent="0.35">
      <c r="A986" s="12"/>
      <c r="B986" s="12"/>
      <c r="C986" s="12" t="str">
        <f ca="1">IFERROR(__xludf.DUMMYFUNCTION("""COMPUTED_VALUE"""),"Wonders of God's Creation: Human Life")</f>
        <v>Wonders of God's Creation: Human Life</v>
      </c>
      <c r="D986" s="12"/>
      <c r="E986" s="12" t="str">
        <f ca="1">IFERROR(__xludf.DUMMYFUNCTION("""COMPUTED_VALUE"""),"DVD")</f>
        <v>DVD</v>
      </c>
      <c r="F986" s="12"/>
      <c r="G986" s="12"/>
      <c r="H986" s="12"/>
      <c r="I986" s="12"/>
      <c r="J986" s="12"/>
      <c r="K986" s="13">
        <f ca="1">IFERROR(__xludf.DUMMYFUNCTION("""COMPUTED_VALUE"""),42019)</f>
        <v>42019</v>
      </c>
      <c r="L986" s="12"/>
      <c r="M986" s="12"/>
      <c r="N986" s="12" t="str">
        <f ca="1">IFERROR(__xludf.DUMMYFUNCTION("""COMPUTED_VALUE"""),"Table2")</f>
        <v>Table2</v>
      </c>
    </row>
    <row r="987" spans="1:14" ht="15.75" customHeight="1" x14ac:dyDescent="0.35">
      <c r="A987" s="12"/>
      <c r="B987" s="12"/>
      <c r="C987" s="12" t="str">
        <f ca="1">IFERROR(__xludf.DUMMYFUNCTION("""COMPUTED_VALUE"""),"Wonders of God's Creation: Planet Earth")</f>
        <v>Wonders of God's Creation: Planet Earth</v>
      </c>
      <c r="D987" s="12"/>
      <c r="E987" s="12" t="str">
        <f ca="1">IFERROR(__xludf.DUMMYFUNCTION("""COMPUTED_VALUE"""),"DVD")</f>
        <v>DVD</v>
      </c>
      <c r="F987" s="12"/>
      <c r="G987" s="12"/>
      <c r="H987" s="12"/>
      <c r="I987" s="12"/>
      <c r="J987" s="12"/>
      <c r="K987" s="13">
        <f ca="1">IFERROR(__xludf.DUMMYFUNCTION("""COMPUTED_VALUE"""),42019)</f>
        <v>42019</v>
      </c>
      <c r="L987" s="12"/>
      <c r="M987" s="12"/>
      <c r="N987" s="12" t="str">
        <f ca="1">IFERROR(__xludf.DUMMYFUNCTION("""COMPUTED_VALUE"""),"Table2")</f>
        <v>Table2</v>
      </c>
    </row>
    <row r="988" spans="1:14" ht="15.75" customHeight="1" x14ac:dyDescent="0.35">
      <c r="A988" s="12"/>
      <c r="B988" s="12"/>
      <c r="C988" s="12" t="str">
        <f ca="1">IFERROR(__xludf.DUMMYFUNCTION("""COMPUTED_VALUE"""),"Wonders of God's Creation: The Milky Way &amp; Solar System")</f>
        <v>Wonders of God's Creation: The Milky Way &amp; Solar System</v>
      </c>
      <c r="D988" s="12"/>
      <c r="E988" s="12" t="str">
        <f ca="1">IFERROR(__xludf.DUMMYFUNCTION("""COMPUTED_VALUE"""),"DVD")</f>
        <v>DVD</v>
      </c>
      <c r="F988" s="12"/>
      <c r="G988" s="12"/>
      <c r="H988" s="12"/>
      <c r="I988" s="12"/>
      <c r="J988" s="12"/>
      <c r="K988" s="13">
        <f ca="1">IFERROR(__xludf.DUMMYFUNCTION("""COMPUTED_VALUE"""),42019)</f>
        <v>42019</v>
      </c>
      <c r="L988" s="12"/>
      <c r="M988" s="12"/>
      <c r="N988" s="12" t="str">
        <f ca="1">IFERROR(__xludf.DUMMYFUNCTION("""COMPUTED_VALUE"""),"Table2")</f>
        <v>Table2</v>
      </c>
    </row>
    <row r="989" spans="1:14" ht="15.75" customHeight="1" x14ac:dyDescent="0.35">
      <c r="A989" s="12"/>
      <c r="B989" s="12"/>
      <c r="C989" s="12" t="str">
        <f ca="1">IFERROR(__xludf.DUMMYFUNCTION("""COMPUTED_VALUE"""),"Wonders of God's Creation: Thundering Earth/Roaring Waters")</f>
        <v>Wonders of God's Creation: Thundering Earth/Roaring Waters</v>
      </c>
      <c r="D989" s="12"/>
      <c r="E989" s="12" t="str">
        <f ca="1">IFERROR(__xludf.DUMMYFUNCTION("""COMPUTED_VALUE"""),"DVD")</f>
        <v>DVD</v>
      </c>
      <c r="F989" s="12"/>
      <c r="G989" s="12"/>
      <c r="H989" s="12"/>
      <c r="I989" s="12"/>
      <c r="J989" s="12"/>
      <c r="K989" s="13">
        <f ca="1">IFERROR(__xludf.DUMMYFUNCTION("""COMPUTED_VALUE"""),42019)</f>
        <v>42019</v>
      </c>
      <c r="L989" s="12"/>
      <c r="M989" s="12"/>
      <c r="N989" s="12" t="str">
        <f ca="1">IFERROR(__xludf.DUMMYFUNCTION("""COMPUTED_VALUE"""),"Table2")</f>
        <v>Table2</v>
      </c>
    </row>
    <row r="990" spans="1:14" ht="15.75" customHeight="1" x14ac:dyDescent="0.35">
      <c r="A990" s="12"/>
      <c r="B990" s="12"/>
      <c r="C990" s="12" t="str">
        <f ca="1">IFERROR(__xludf.DUMMYFUNCTION("""COMPUTED_VALUE"""),"Your Walk with God is a Community Project")</f>
        <v>Your Walk with God is a Community Project</v>
      </c>
      <c r="D990" s="12"/>
      <c r="E990" s="12" t="str">
        <f ca="1">IFERROR(__xludf.DUMMYFUNCTION("""COMPUTED_VALUE"""),"DVD")</f>
        <v>DVD</v>
      </c>
      <c r="F990" s="12"/>
      <c r="G990" s="12"/>
      <c r="H990" s="12"/>
      <c r="I990" s="12"/>
      <c r="J990" s="12"/>
      <c r="K990" s="13">
        <f ca="1">IFERROR(__xludf.DUMMYFUNCTION("""COMPUTED_VALUE"""),42966)</f>
        <v>42966</v>
      </c>
      <c r="L990" s="12"/>
      <c r="M990" s="12"/>
      <c r="N990" s="12" t="str">
        <f ca="1">IFERROR(__xludf.DUMMYFUNCTION("""COMPUTED_VALUE"""),"Table2")</f>
        <v>Table2</v>
      </c>
    </row>
    <row r="991" spans="1:14" ht="15.75" customHeight="1" x14ac:dyDescent="0.35">
      <c r="A991" s="12"/>
      <c r="B991" s="12"/>
      <c r="C991" s="12" t="str">
        <f ca="1">IFERROR(__xludf.DUMMYFUNCTION("""COMPUTED_VALUE"""),"Zwingli &amp; Calvin")</f>
        <v>Zwingli &amp; Calvin</v>
      </c>
      <c r="D991" s="12"/>
      <c r="E991" s="12" t="str">
        <f ca="1">IFERROR(__xludf.DUMMYFUNCTION("""COMPUTED_VALUE"""),"DVD")</f>
        <v>DVD</v>
      </c>
      <c r="F991" s="12"/>
      <c r="G991" s="12"/>
      <c r="H991" s="12"/>
      <c r="I991" s="12"/>
      <c r="J991" s="12"/>
      <c r="K991" s="13">
        <f ca="1">IFERROR(__xludf.DUMMYFUNCTION("""COMPUTED_VALUE"""),42019)</f>
        <v>42019</v>
      </c>
      <c r="L991" s="12"/>
      <c r="M991" s="12"/>
      <c r="N991" s="12" t="str">
        <f ca="1">IFERROR(__xludf.DUMMYFUNCTION("""COMPUTED_VALUE"""),"Table2")</f>
        <v>Table2</v>
      </c>
    </row>
    <row r="992" spans="1:14" ht="15.75" customHeight="1" x14ac:dyDescent="0.35">
      <c r="A992" s="12"/>
      <c r="B992" s="12"/>
      <c r="C992" s="12" t="str">
        <f ca="1">IFERROR(__xludf.DUMMYFUNCTION("""COMPUTED_VALUE"""),"Hide 'Em in Your Heart: Bible Memory Melodies Volume 1")</f>
        <v>Hide 'Em in Your Heart: Bible Memory Melodies Volume 1</v>
      </c>
      <c r="D992" s="12"/>
      <c r="E992" s="12" t="str">
        <f ca="1">IFERROR(__xludf.DUMMYFUNCTION("""COMPUTED_VALUE"""),"CD")</f>
        <v>CD</v>
      </c>
      <c r="F992" s="12" t="str">
        <f ca="1">IFERROR(__xludf.DUMMYFUNCTION("""COMPUTED_VALUE"""),"Children")</f>
        <v>Children</v>
      </c>
      <c r="G992" s="12"/>
      <c r="H992" s="12"/>
      <c r="I992" s="12"/>
      <c r="J992" s="12"/>
      <c r="K992" s="13"/>
      <c r="L992" s="12"/>
      <c r="M992" s="12" t="str">
        <f ca="1">IFERROR(__xludf.DUMMYFUNCTION("""COMPUTED_VALUE"""),"Green, Steve")</f>
        <v>Green, Steve</v>
      </c>
      <c r="N992" s="12" t="str">
        <f ca="1">IFERROR(__xludf.DUMMYFUNCTION("""COMPUTED_VALUE"""),"Table3")</f>
        <v>Table3</v>
      </c>
    </row>
    <row r="993" spans="1:14" ht="15.75" customHeight="1" x14ac:dyDescent="0.35">
      <c r="A993" s="12"/>
      <c r="B993" s="12"/>
      <c r="C993" s="12" t="str">
        <f ca="1">IFERROR(__xludf.DUMMYFUNCTION("""COMPUTED_VALUE"""),"Hide 'Em in Your Heart: Bible Memory Melodies Volume 2")</f>
        <v>Hide 'Em in Your Heart: Bible Memory Melodies Volume 2</v>
      </c>
      <c r="D993" s="12"/>
      <c r="E993" s="12" t="str">
        <f ca="1">IFERROR(__xludf.DUMMYFUNCTION("""COMPUTED_VALUE"""),"CD")</f>
        <v>CD</v>
      </c>
      <c r="F993" s="12" t="str">
        <f ca="1">IFERROR(__xludf.DUMMYFUNCTION("""COMPUTED_VALUE"""),"Children")</f>
        <v>Children</v>
      </c>
      <c r="G993" s="12"/>
      <c r="H993" s="12"/>
      <c r="I993" s="12"/>
      <c r="J993" s="12"/>
      <c r="K993" s="13"/>
      <c r="L993" s="12"/>
      <c r="M993" s="12" t="str">
        <f ca="1">IFERROR(__xludf.DUMMYFUNCTION("""COMPUTED_VALUE"""),"Green, Steve")</f>
        <v>Green, Steve</v>
      </c>
      <c r="N993" s="12" t="str">
        <f ca="1">IFERROR(__xludf.DUMMYFUNCTION("""COMPUTED_VALUE"""),"Table3")</f>
        <v>Table3</v>
      </c>
    </row>
    <row r="994" spans="1:14" ht="15.75" customHeight="1" x14ac:dyDescent="0.35">
      <c r="A994" s="12"/>
      <c r="B994" s="12"/>
      <c r="C994" s="12" t="str">
        <f ca="1">IFERROR(__xludf.DUMMYFUNCTION("""COMPUTED_VALUE"""),"ColdHeartica")</f>
        <v>ColdHeartica</v>
      </c>
      <c r="D994" s="12"/>
      <c r="E994" s="12" t="str">
        <f ca="1">IFERROR(__xludf.DUMMYFUNCTION("""COMPUTED_VALUE"""),"CD")</f>
        <v>CD</v>
      </c>
      <c r="F994" s="12" t="str">
        <f ca="1">IFERROR(__xludf.DUMMYFUNCTION("""COMPUTED_VALUE"""),"Children")</f>
        <v>Children</v>
      </c>
      <c r="G994" s="12"/>
      <c r="H994" s="12"/>
      <c r="I994" s="12"/>
      <c r="J994" s="12"/>
      <c r="K994" s="13">
        <f ca="1">IFERROR(__xludf.DUMMYFUNCTION("""COMPUTED_VALUE"""),43040)</f>
        <v>43040</v>
      </c>
      <c r="L994" s="12"/>
      <c r="M994" s="12" t="str">
        <f ca="1">IFERROR(__xludf.DUMMYFUNCTION("""COMPUTED_VALUE"""),"Patch the Pirate")</f>
        <v>Patch the Pirate</v>
      </c>
      <c r="N994" s="12" t="str">
        <f ca="1">IFERROR(__xludf.DUMMYFUNCTION("""COMPUTED_VALUE"""),"Table3")</f>
        <v>Table3</v>
      </c>
    </row>
    <row r="995" spans="1:14" ht="15.75" customHeight="1" x14ac:dyDescent="0.35">
      <c r="A995" s="12"/>
      <c r="B995" s="12"/>
      <c r="C995" s="12" t="str">
        <f ca="1">IFERROR(__xludf.DUMMYFUNCTION("""COMPUTED_VALUE"""),"Down Under")</f>
        <v>Down Under</v>
      </c>
      <c r="D995" s="12"/>
      <c r="E995" s="12" t="str">
        <f ca="1">IFERROR(__xludf.DUMMYFUNCTION("""COMPUTED_VALUE"""),"CD")</f>
        <v>CD</v>
      </c>
      <c r="F995" s="12" t="str">
        <f ca="1">IFERROR(__xludf.DUMMYFUNCTION("""COMPUTED_VALUE"""),"Children")</f>
        <v>Children</v>
      </c>
      <c r="G995" s="12"/>
      <c r="H995" s="12"/>
      <c r="I995" s="12"/>
      <c r="J995" s="12"/>
      <c r="K995" s="13">
        <f ca="1">IFERROR(__xludf.DUMMYFUNCTION("""COMPUTED_VALUE"""),43040)</f>
        <v>43040</v>
      </c>
      <c r="L995" s="12"/>
      <c r="M995" s="12" t="str">
        <f ca="1">IFERROR(__xludf.DUMMYFUNCTION("""COMPUTED_VALUE"""),"Patch the Pirate")</f>
        <v>Patch the Pirate</v>
      </c>
      <c r="N995" s="12" t="str">
        <f ca="1">IFERROR(__xludf.DUMMYFUNCTION("""COMPUTED_VALUE"""),"Table3")</f>
        <v>Table3</v>
      </c>
    </row>
    <row r="996" spans="1:14" ht="15.75" customHeight="1" x14ac:dyDescent="0.35">
      <c r="A996" s="12"/>
      <c r="B996" s="12"/>
      <c r="C996" s="12" t="str">
        <f ca="1">IFERROR(__xludf.DUMMYFUNCTION("""COMPUTED_VALUE"""),"Goes to the Jungle")</f>
        <v>Goes to the Jungle</v>
      </c>
      <c r="D996" s="12"/>
      <c r="E996" s="12" t="str">
        <f ca="1">IFERROR(__xludf.DUMMYFUNCTION("""COMPUTED_VALUE"""),"CD")</f>
        <v>CD</v>
      </c>
      <c r="F996" s="12" t="str">
        <f ca="1">IFERROR(__xludf.DUMMYFUNCTION("""COMPUTED_VALUE"""),"Children")</f>
        <v>Children</v>
      </c>
      <c r="G996" s="12"/>
      <c r="H996" s="12"/>
      <c r="I996" s="12"/>
      <c r="J996" s="12"/>
      <c r="K996" s="13">
        <f ca="1">IFERROR(__xludf.DUMMYFUNCTION("""COMPUTED_VALUE"""),43040)</f>
        <v>43040</v>
      </c>
      <c r="L996" s="12"/>
      <c r="M996" s="12" t="str">
        <f ca="1">IFERROR(__xludf.DUMMYFUNCTION("""COMPUTED_VALUE"""),"Patch the Pirate")</f>
        <v>Patch the Pirate</v>
      </c>
      <c r="N996" s="12" t="str">
        <f ca="1">IFERROR(__xludf.DUMMYFUNCTION("""COMPUTED_VALUE"""),"Table3")</f>
        <v>Table3</v>
      </c>
    </row>
    <row r="997" spans="1:14" ht="15.75" customHeight="1" x14ac:dyDescent="0.35">
      <c r="A997" s="12"/>
      <c r="B997" s="12"/>
      <c r="C997" s="12" t="str">
        <f ca="1">IFERROR(__xludf.DUMMYFUNCTION("""COMPUTED_VALUE"""),"Kidnapped on I-Land")</f>
        <v>Kidnapped on I-Land</v>
      </c>
      <c r="D997" s="12"/>
      <c r="E997" s="12" t="str">
        <f ca="1">IFERROR(__xludf.DUMMYFUNCTION("""COMPUTED_VALUE"""),"CD")</f>
        <v>CD</v>
      </c>
      <c r="F997" s="12" t="str">
        <f ca="1">IFERROR(__xludf.DUMMYFUNCTION("""COMPUTED_VALUE"""),"Children")</f>
        <v>Children</v>
      </c>
      <c r="G997" s="12"/>
      <c r="H997" s="12"/>
      <c r="I997" s="12"/>
      <c r="J997" s="12"/>
      <c r="K997" s="13">
        <f ca="1">IFERROR(__xludf.DUMMYFUNCTION("""COMPUTED_VALUE"""),43040)</f>
        <v>43040</v>
      </c>
      <c r="L997" s="12" t="str">
        <f ca="1">IFERROR(__xludf.DUMMYFUNCTION("""COMPUTED_VALUE"""),"Have back-up CD")</f>
        <v>Have back-up CD</v>
      </c>
      <c r="M997" s="12" t="str">
        <f ca="1">IFERROR(__xludf.DUMMYFUNCTION("""COMPUTED_VALUE"""),"Patch the Pirate")</f>
        <v>Patch the Pirate</v>
      </c>
      <c r="N997" s="12" t="str">
        <f ca="1">IFERROR(__xludf.DUMMYFUNCTION("""COMPUTED_VALUE"""),"Table3")</f>
        <v>Table3</v>
      </c>
    </row>
    <row r="998" spans="1:14" ht="15.75" customHeight="1" x14ac:dyDescent="0.35">
      <c r="A998" s="12"/>
      <c r="B998" s="12"/>
      <c r="C998" s="12" t="str">
        <f ca="1">IFERROR(__xludf.DUMMYFUNCTION("""COMPUTED_VALUE"""),"MisterSlippi River Race")</f>
        <v>MisterSlippi River Race</v>
      </c>
      <c r="D998" s="12"/>
      <c r="E998" s="12" t="str">
        <f ca="1">IFERROR(__xludf.DUMMYFUNCTION("""COMPUTED_VALUE"""),"CD")</f>
        <v>CD</v>
      </c>
      <c r="F998" s="12" t="str">
        <f ca="1">IFERROR(__xludf.DUMMYFUNCTION("""COMPUTED_VALUE"""),"Children")</f>
        <v>Children</v>
      </c>
      <c r="G998" s="12"/>
      <c r="H998" s="12"/>
      <c r="I998" s="12"/>
      <c r="J998" s="12"/>
      <c r="K998" s="13">
        <f ca="1">IFERROR(__xludf.DUMMYFUNCTION("""COMPUTED_VALUE"""),43040)</f>
        <v>43040</v>
      </c>
      <c r="L998" s="12"/>
      <c r="M998" s="12" t="str">
        <f ca="1">IFERROR(__xludf.DUMMYFUNCTION("""COMPUTED_VALUE"""),"Patch the Pirate")</f>
        <v>Patch the Pirate</v>
      </c>
      <c r="N998" s="12" t="str">
        <f ca="1">IFERROR(__xludf.DUMMYFUNCTION("""COMPUTED_VALUE"""),"Table3")</f>
        <v>Table3</v>
      </c>
    </row>
    <row r="999" spans="1:14" ht="15.75" customHeight="1" x14ac:dyDescent="0.35">
      <c r="A999" s="12"/>
      <c r="B999" s="12"/>
      <c r="C999" s="12" t="str">
        <f ca="1">IFERROR(__xludf.DUMMYFUNCTION("""COMPUTED_VALUE"""),"Ocean Commotion")</f>
        <v>Ocean Commotion</v>
      </c>
      <c r="D999" s="12"/>
      <c r="E999" s="12" t="str">
        <f ca="1">IFERROR(__xludf.DUMMYFUNCTION("""COMPUTED_VALUE"""),"CD")</f>
        <v>CD</v>
      </c>
      <c r="F999" s="12" t="str">
        <f ca="1">IFERROR(__xludf.DUMMYFUNCTION("""COMPUTED_VALUE"""),"Children")</f>
        <v>Children</v>
      </c>
      <c r="G999" s="12"/>
      <c r="H999" s="12"/>
      <c r="I999" s="12"/>
      <c r="J999" s="12"/>
      <c r="K999" s="13">
        <f ca="1">IFERROR(__xludf.DUMMYFUNCTION("""COMPUTED_VALUE"""),43040)</f>
        <v>43040</v>
      </c>
      <c r="L999" s="12"/>
      <c r="M999" s="12" t="str">
        <f ca="1">IFERROR(__xludf.DUMMYFUNCTION("""COMPUTED_VALUE"""),"Patch the Pirate")</f>
        <v>Patch the Pirate</v>
      </c>
      <c r="N999" s="12" t="str">
        <f ca="1">IFERROR(__xludf.DUMMYFUNCTION("""COMPUTED_VALUE"""),"Table3")</f>
        <v>Table3</v>
      </c>
    </row>
    <row r="1000" spans="1:14" ht="15.75" customHeight="1" x14ac:dyDescent="0.35">
      <c r="A1000" s="12"/>
      <c r="B1000" s="12"/>
      <c r="C1000" s="12" t="str">
        <f ca="1">IFERROR(__xludf.DUMMYFUNCTION("""COMPUTED_VALUE"""),"Time Twisters")</f>
        <v>Time Twisters</v>
      </c>
      <c r="D1000" s="12"/>
      <c r="E1000" s="12" t="str">
        <f ca="1">IFERROR(__xludf.DUMMYFUNCTION("""COMPUTED_VALUE"""),"CD")</f>
        <v>CD</v>
      </c>
      <c r="F1000" s="12" t="str">
        <f ca="1">IFERROR(__xludf.DUMMYFUNCTION("""COMPUTED_VALUE"""),"Children")</f>
        <v>Children</v>
      </c>
      <c r="G1000" s="12"/>
      <c r="H1000" s="12"/>
      <c r="I1000" s="12"/>
      <c r="J1000" s="12"/>
      <c r="K1000" s="13">
        <f ca="1">IFERROR(__xludf.DUMMYFUNCTION("""COMPUTED_VALUE"""),43040)</f>
        <v>43040</v>
      </c>
      <c r="L1000" s="12"/>
      <c r="M1000" s="12" t="str">
        <f ca="1">IFERROR(__xludf.DUMMYFUNCTION("""COMPUTED_VALUE"""),"Patch the Pirate")</f>
        <v>Patch the Pirate</v>
      </c>
      <c r="N1000" s="12" t="str">
        <f ca="1">IFERROR(__xludf.DUMMYFUNCTION("""COMPUTED_VALUE"""),"Table3")</f>
        <v>Table3</v>
      </c>
    </row>
    <row r="1001" spans="1:14" ht="15.75" customHeight="1" x14ac:dyDescent="0.35">
      <c r="A1001" s="12"/>
      <c r="B1001" s="12"/>
      <c r="C1001" s="12" t="str">
        <f ca="1">IFERROR(__xludf.DUMMYFUNCTION("""COMPUTED_VALUE"""),"The Lightlings")</f>
        <v>The Lightlings</v>
      </c>
      <c r="D1001" s="12"/>
      <c r="E1001" s="12" t="str">
        <f ca="1">IFERROR(__xludf.DUMMYFUNCTION("""COMPUTED_VALUE"""),"CD")</f>
        <v>CD</v>
      </c>
      <c r="F1001" s="12" t="str">
        <f ca="1">IFERROR(__xludf.DUMMYFUNCTION("""COMPUTED_VALUE"""),"Children")</f>
        <v>Children</v>
      </c>
      <c r="G1001" s="12"/>
      <c r="H1001" s="12"/>
      <c r="I1001" s="12"/>
      <c r="J1001" s="12"/>
      <c r="K1001" s="13">
        <f ca="1">IFERROR(__xludf.DUMMYFUNCTION("""COMPUTED_VALUE"""),41712)</f>
        <v>41712</v>
      </c>
      <c r="L1001" s="12"/>
      <c r="M1001" s="12" t="str">
        <f ca="1">IFERROR(__xludf.DUMMYFUNCTION("""COMPUTED_VALUE"""),"Sproul, R.C. ")</f>
        <v xml:space="preserve">Sproul, R.C. </v>
      </c>
      <c r="N1001" s="12" t="str">
        <f ca="1">IFERROR(__xludf.DUMMYFUNCTION("""COMPUTED_VALUE"""),"Table3")</f>
        <v>Table3</v>
      </c>
    </row>
    <row r="1002" spans="1:14" ht="15.75" customHeight="1" x14ac:dyDescent="0.35">
      <c r="A1002" s="12"/>
      <c r="B1002" s="12"/>
      <c r="C1002" s="12" t="str">
        <f ca="1">IFERROR(__xludf.DUMMYFUNCTION("""COMPUTED_VALUE"""),"Nathaniel, the Grublet")</f>
        <v>Nathaniel, the Grublet</v>
      </c>
      <c r="D1002" s="12"/>
      <c r="E1002" s="12" t="str">
        <f ca="1">IFERROR(__xludf.DUMMYFUNCTION("""COMPUTED_VALUE"""),"CD")</f>
        <v>CD</v>
      </c>
      <c r="F1002" s="12" t="str">
        <f ca="1">IFERROR(__xludf.DUMMYFUNCTION("""COMPUTED_VALUE"""),"Children")</f>
        <v>Children</v>
      </c>
      <c r="G1002" s="12"/>
      <c r="H1002" s="12"/>
      <c r="I1002" s="12"/>
      <c r="J1002" s="12"/>
      <c r="K1002" s="13">
        <f ca="1">IFERROR(__xludf.DUMMYFUNCTION("""COMPUTED_VALUE"""),43023)</f>
        <v>43023</v>
      </c>
      <c r="L1002" s="12"/>
      <c r="M1002" s="12"/>
      <c r="N1002" s="12" t="str">
        <f ca="1">IFERROR(__xludf.DUMMYFUNCTION("""COMPUTED_VALUE"""),"Table3")</f>
        <v>Table3</v>
      </c>
    </row>
    <row r="1003" spans="1:14" ht="15.75" customHeight="1" x14ac:dyDescent="0.35">
      <c r="A1003" s="12"/>
      <c r="B1003" s="12"/>
      <c r="C1003" s="12" t="str">
        <f ca="1">IFERROR(__xludf.DUMMYFUNCTION("""COMPUTED_VALUE"""),"The Story of the Little Tree")</f>
        <v>The Story of the Little Tree</v>
      </c>
      <c r="D1003" s="12"/>
      <c r="E1003" s="12" t="str">
        <f ca="1">IFERROR(__xludf.DUMMYFUNCTION("""COMPUTED_VALUE"""),"CD")</f>
        <v>CD</v>
      </c>
      <c r="F1003" s="12" t="str">
        <f ca="1">IFERROR(__xludf.DUMMYFUNCTION("""COMPUTED_VALUE"""),"Children")</f>
        <v>Children</v>
      </c>
      <c r="G1003" s="12"/>
      <c r="H1003" s="12"/>
      <c r="I1003" s="12"/>
      <c r="J1003" s="12"/>
      <c r="K1003" s="13">
        <f ca="1">IFERROR(__xludf.DUMMYFUNCTION("""COMPUTED_VALUE"""),43023)</f>
        <v>43023</v>
      </c>
      <c r="L1003" s="12"/>
      <c r="M1003" s="12"/>
      <c r="N1003" s="12" t="str">
        <f ca="1">IFERROR(__xludf.DUMMYFUNCTION("""COMPUTED_VALUE"""),"Table3")</f>
        <v>Table3</v>
      </c>
    </row>
    <row r="1004" spans="1:14" ht="15.75" customHeight="1" x14ac:dyDescent="0.35">
      <c r="A1004" s="12"/>
      <c r="B1004" s="12"/>
      <c r="C1004" s="12" t="str">
        <f ca="1">IFERROR(__xludf.DUMMYFUNCTION("""COMPUTED_VALUE"""),"9 Marks Leadership Sampler")</f>
        <v>9 Marks Leadership Sampler</v>
      </c>
      <c r="D1004" s="12"/>
      <c r="E1004" s="12" t="str">
        <f ca="1">IFERROR(__xludf.DUMMYFUNCTION("""COMPUTED_VALUE"""),"CD")</f>
        <v>CD</v>
      </c>
      <c r="F1004" s="12"/>
      <c r="G1004" s="12"/>
      <c r="H1004" s="12"/>
      <c r="I1004" s="12"/>
      <c r="J1004" s="12"/>
      <c r="K1004" s="13">
        <f ca="1">IFERROR(__xludf.DUMMYFUNCTION("""COMPUTED_VALUE"""),40034)</f>
        <v>40034</v>
      </c>
      <c r="L1004" s="12"/>
      <c r="M1004" s="12" t="str">
        <f ca="1">IFERROR(__xludf.DUMMYFUNCTION("""COMPUTED_VALUE"""),"9 Marks")</f>
        <v>9 Marks</v>
      </c>
      <c r="N1004" s="12" t="str">
        <f ca="1">IFERROR(__xludf.DUMMYFUNCTION("""COMPUTED_VALUE"""),"Table3")</f>
        <v>Table3</v>
      </c>
    </row>
    <row r="1005" spans="1:14" ht="15.75" customHeight="1" x14ac:dyDescent="0.35">
      <c r="A1005" s="12"/>
      <c r="B1005" s="12"/>
      <c r="C1005" s="12" t="str">
        <f ca="1">IFERROR(__xludf.DUMMYFUNCTION("""COMPUTED_VALUE"""),"Children of God (Phila Conf on Reformed Theology 2011)")</f>
        <v>Children of God (Phila Conf on Reformed Theology 2011)</v>
      </c>
      <c r="D1005" s="12"/>
      <c r="E1005" s="12" t="str">
        <f ca="1">IFERROR(__xludf.DUMMYFUNCTION("""COMPUTED_VALUE"""),"CD")</f>
        <v>CD</v>
      </c>
      <c r="F1005" s="12"/>
      <c r="G1005" s="12"/>
      <c r="H1005" s="12"/>
      <c r="I1005" s="12"/>
      <c r="J1005" s="12"/>
      <c r="K1005" s="13">
        <f ca="1">IFERROR(__xludf.DUMMYFUNCTION("""COMPUTED_VALUE"""),40920)</f>
        <v>40920</v>
      </c>
      <c r="L1005" s="12"/>
      <c r="M1005" s="12" t="str">
        <f ca="1">IFERROR(__xludf.DUMMYFUNCTION("""COMPUTED_VALUE"""),"Alliance of Confessing Evangelicals")</f>
        <v>Alliance of Confessing Evangelicals</v>
      </c>
      <c r="N1005" s="12" t="str">
        <f ca="1">IFERROR(__xludf.DUMMYFUNCTION("""COMPUTED_VALUE"""),"Table3")</f>
        <v>Table3</v>
      </c>
    </row>
    <row r="1006" spans="1:14" ht="15.75" customHeight="1" x14ac:dyDescent="0.35">
      <c r="A1006" s="12"/>
      <c r="B1006" s="12"/>
      <c r="C1006" s="12" t="str">
        <f ca="1">IFERROR(__xludf.DUMMYFUNCTION("""COMPUTED_VALUE"""),"From Dust to Glory:  A Tale of Two Adams")</f>
        <v>From Dust to Glory:  A Tale of Two Adams</v>
      </c>
      <c r="D1006" s="12"/>
      <c r="E1006" s="12" t="str">
        <f ca="1">IFERROR(__xludf.DUMMYFUNCTION("""COMPUTED_VALUE"""),"CD")</f>
        <v>CD</v>
      </c>
      <c r="F1006" s="12"/>
      <c r="G1006" s="12"/>
      <c r="H1006" s="12"/>
      <c r="I1006" s="12"/>
      <c r="J1006" s="12"/>
      <c r="K1006" s="13">
        <f ca="1">IFERROR(__xludf.DUMMYFUNCTION("""COMPUTED_VALUE"""),42353)</f>
        <v>42353</v>
      </c>
      <c r="L1006" s="12"/>
      <c r="M1006" s="12" t="str">
        <f ca="1">IFERROR(__xludf.DUMMYFUNCTION("""COMPUTED_VALUE"""),"Alliance of Confessing Evangelicals")</f>
        <v>Alliance of Confessing Evangelicals</v>
      </c>
      <c r="N1006" s="12" t="str">
        <f ca="1">IFERROR(__xludf.DUMMYFUNCTION("""COMPUTED_VALUE"""),"Table3")</f>
        <v>Table3</v>
      </c>
    </row>
    <row r="1007" spans="1:14" ht="15.75" customHeight="1" x14ac:dyDescent="0.35">
      <c r="A1007" s="12"/>
      <c r="B1007" s="12"/>
      <c r="C1007" s="12" t="str">
        <f ca="1">IFERROR(__xludf.DUMMYFUNCTION("""COMPUTED_VALUE"""),"Princeton Regional Conference on Reformed Theology 2011")</f>
        <v>Princeton Regional Conference on Reformed Theology 2011</v>
      </c>
      <c r="D1007" s="12"/>
      <c r="E1007" s="12" t="str">
        <f ca="1">IFERROR(__xludf.DUMMYFUNCTION("""COMPUTED_VALUE"""),"MP3 CD")</f>
        <v>MP3 CD</v>
      </c>
      <c r="F1007" s="12"/>
      <c r="G1007" s="12"/>
      <c r="H1007" s="12"/>
      <c r="I1007" s="12"/>
      <c r="J1007" s="12"/>
      <c r="K1007" s="13">
        <f ca="1">IFERROR(__xludf.DUMMYFUNCTION("""COMPUTED_VALUE"""),41957)</f>
        <v>41957</v>
      </c>
      <c r="L1007" s="12"/>
      <c r="M1007" s="12" t="str">
        <f ca="1">IFERROR(__xludf.DUMMYFUNCTION("""COMPUTED_VALUE"""),"Alliance of Confessing Evangelicals")</f>
        <v>Alliance of Confessing Evangelicals</v>
      </c>
      <c r="N1007" s="12" t="str">
        <f ca="1">IFERROR(__xludf.DUMMYFUNCTION("""COMPUTED_VALUE"""),"Table3")</f>
        <v>Table3</v>
      </c>
    </row>
    <row r="1008" spans="1:14" ht="15.75" customHeight="1" x14ac:dyDescent="0.35">
      <c r="A1008" s="12"/>
      <c r="B1008" s="12"/>
      <c r="C1008" s="12" t="str">
        <f ca="1">IFERROR(__xludf.DUMMYFUNCTION("""COMPUTED_VALUE"""),"Texas Hill Country Bible Conference 2013")</f>
        <v>Texas Hill Country Bible Conference 2013</v>
      </c>
      <c r="D1008" s="12"/>
      <c r="E1008" s="12" t="str">
        <f ca="1">IFERROR(__xludf.DUMMYFUNCTION("""COMPUTED_VALUE"""),"CD")</f>
        <v>CD</v>
      </c>
      <c r="F1008" s="12"/>
      <c r="G1008" s="12"/>
      <c r="H1008" s="12"/>
      <c r="I1008" s="12"/>
      <c r="J1008" s="12"/>
      <c r="K1008" s="13"/>
      <c r="L1008" s="12"/>
      <c r="M1008" s="12" t="str">
        <f ca="1">IFERROR(__xludf.DUMMYFUNCTION("""COMPUTED_VALUE"""),"Alliance of Confessing Evangelicals")</f>
        <v>Alliance of Confessing Evangelicals</v>
      </c>
      <c r="N1008" s="12" t="str">
        <f ca="1">IFERROR(__xludf.DUMMYFUNCTION("""COMPUTED_VALUE"""),"Table3")</f>
        <v>Table3</v>
      </c>
    </row>
    <row r="1009" spans="1:14" ht="15.75" customHeight="1" x14ac:dyDescent="0.35">
      <c r="A1009" s="12"/>
      <c r="B1009" s="12"/>
      <c r="C1009" s="12" t="str">
        <f ca="1">IFERROR(__xludf.DUMMYFUNCTION("""COMPUTED_VALUE"""),"The Theology of the Cross")</f>
        <v>The Theology of the Cross</v>
      </c>
      <c r="D1009" s="12"/>
      <c r="E1009" s="12" t="str">
        <f ca="1">IFERROR(__xludf.DUMMYFUNCTION("""COMPUTED_VALUE"""),"CD")</f>
        <v>CD</v>
      </c>
      <c r="F1009" s="12"/>
      <c r="G1009" s="12"/>
      <c r="H1009" s="12"/>
      <c r="I1009" s="12"/>
      <c r="J1009" s="12"/>
      <c r="K1009" s="13">
        <f ca="1">IFERROR(__xludf.DUMMYFUNCTION("""COMPUTED_VALUE"""),41773)</f>
        <v>41773</v>
      </c>
      <c r="L1009" s="12"/>
      <c r="M1009" s="12" t="str">
        <f ca="1">IFERROR(__xludf.DUMMYFUNCTION("""COMPUTED_VALUE"""),"Alliance of Confessing Evangelicals")</f>
        <v>Alliance of Confessing Evangelicals</v>
      </c>
      <c r="N1009" s="12" t="str">
        <f ca="1">IFERROR(__xludf.DUMMYFUNCTION("""COMPUTED_VALUE"""),"Table3")</f>
        <v>Table3</v>
      </c>
    </row>
    <row r="1010" spans="1:14" ht="15.75" customHeight="1" x14ac:dyDescent="0.35">
      <c r="A1010" s="12"/>
      <c r="B1010" s="12"/>
      <c r="C1010" s="12" t="str">
        <f ca="1">IFERROR(__xludf.DUMMYFUNCTION("""COMPUTED_VALUE"""),"Part 1: Our Ancient Foe in the Garden by Hugh Kent")</f>
        <v>Part 1: Our Ancient Foe in the Garden by Hugh Kent</v>
      </c>
      <c r="D1010" s="12"/>
      <c r="E1010" s="12" t="str">
        <f ca="1">IFERROR(__xludf.DUMMYFUNCTION("""COMPUTED_VALUE"""),"CD")</f>
        <v>CD</v>
      </c>
      <c r="F1010" s="12"/>
      <c r="G1010" s="12"/>
      <c r="H1010" s="12"/>
      <c r="I1010" s="12"/>
      <c r="J1010" s="12"/>
      <c r="K1010" s="13"/>
      <c r="L1010" s="12"/>
      <c r="M1010" s="12" t="str">
        <f ca="1">IFERROR(__xludf.DUMMYFUNCTION("""COMPUTED_VALUE"""),"Alliance of Confessing Evangelicals - Quakertown Conference")</f>
        <v>Alliance of Confessing Evangelicals - Quakertown Conference</v>
      </c>
      <c r="N1010" s="12" t="str">
        <f ca="1">IFERROR(__xludf.DUMMYFUNCTION("""COMPUTED_VALUE"""),"Table3")</f>
        <v>Table3</v>
      </c>
    </row>
    <row r="1011" spans="1:14" ht="15.75" customHeight="1" x14ac:dyDescent="0.35">
      <c r="A1011" s="12"/>
      <c r="B1011" s="12"/>
      <c r="C1011" s="12" t="str">
        <f ca="1">IFERROR(__xludf.DUMMYFUNCTION("""COMPUTED_VALUE"""),"Part 2: Know Our Ancient Foe by Tom Nettles")</f>
        <v>Part 2: Know Our Ancient Foe by Tom Nettles</v>
      </c>
      <c r="D1011" s="12"/>
      <c r="E1011" s="12" t="str">
        <f ca="1">IFERROR(__xludf.DUMMYFUNCTION("""COMPUTED_VALUE"""),"CD")</f>
        <v>CD</v>
      </c>
      <c r="F1011" s="12"/>
      <c r="G1011" s="12"/>
      <c r="H1011" s="12"/>
      <c r="I1011" s="12"/>
      <c r="J1011" s="12"/>
      <c r="K1011" s="13"/>
      <c r="L1011" s="12"/>
      <c r="M1011" s="12" t="str">
        <f ca="1">IFERROR(__xludf.DUMMYFUNCTION("""COMPUTED_VALUE"""),"Alliance of Confessing Evangelicals - Quakertown Conference")</f>
        <v>Alliance of Confessing Evangelicals - Quakertown Conference</v>
      </c>
      <c r="N1011" s="12" t="str">
        <f ca="1">IFERROR(__xludf.DUMMYFUNCTION("""COMPUTED_VALUE"""),"Table3")</f>
        <v>Table3</v>
      </c>
    </row>
    <row r="1012" spans="1:14" ht="15.75" customHeight="1" x14ac:dyDescent="0.35">
      <c r="A1012" s="12"/>
      <c r="B1012" s="12"/>
      <c r="C1012" s="12" t="str">
        <f ca="1">IFERROR(__xludf.DUMMYFUNCTION("""COMPUTED_VALUE"""),"Part 3: Exposing the Lies of Our Ancient Foe by Peter Jones")</f>
        <v>Part 3: Exposing the Lies of Our Ancient Foe by Peter Jones</v>
      </c>
      <c r="D1012" s="12"/>
      <c r="E1012" s="12" t="str">
        <f ca="1">IFERROR(__xludf.DUMMYFUNCTION("""COMPUTED_VALUE"""),"CD")</f>
        <v>CD</v>
      </c>
      <c r="F1012" s="12"/>
      <c r="G1012" s="12"/>
      <c r="H1012" s="12"/>
      <c r="I1012" s="12"/>
      <c r="J1012" s="12"/>
      <c r="K1012" s="13"/>
      <c r="L1012" s="12"/>
      <c r="M1012" s="12" t="str">
        <f ca="1">IFERROR(__xludf.DUMMYFUNCTION("""COMPUTED_VALUE"""),"Alliance of Confessing Evangelicals - Quakertown Conference")</f>
        <v>Alliance of Confessing Evangelicals - Quakertown Conference</v>
      </c>
      <c r="N1012" s="12" t="str">
        <f ca="1">IFERROR(__xludf.DUMMYFUNCTION("""COMPUTED_VALUE"""),"Table3")</f>
        <v>Table3</v>
      </c>
    </row>
    <row r="1013" spans="1:14" ht="15.75" customHeight="1" x14ac:dyDescent="0.35">
      <c r="A1013" s="12"/>
      <c r="B1013" s="12"/>
      <c r="C1013" s="12" t="str">
        <f ca="1">IFERROR(__xludf.DUMMYFUNCTION("""COMPUTED_VALUE"""),"Part 4: Deliverance from Our Ancient Foe by Kent Hughes")</f>
        <v>Part 4: Deliverance from Our Ancient Foe by Kent Hughes</v>
      </c>
      <c r="D1013" s="12"/>
      <c r="E1013" s="12" t="str">
        <f ca="1">IFERROR(__xludf.DUMMYFUNCTION("""COMPUTED_VALUE"""),"CD")</f>
        <v>CD</v>
      </c>
      <c r="F1013" s="12"/>
      <c r="G1013" s="12"/>
      <c r="H1013" s="12"/>
      <c r="I1013" s="12"/>
      <c r="J1013" s="12"/>
      <c r="K1013" s="13"/>
      <c r="L1013" s="12"/>
      <c r="M1013" s="12" t="str">
        <f ca="1">IFERROR(__xludf.DUMMYFUNCTION("""COMPUTED_VALUE"""),"Alliance of Confessing Evangelicals - Quakertown Conference")</f>
        <v>Alliance of Confessing Evangelicals - Quakertown Conference</v>
      </c>
      <c r="N1013" s="12" t="str">
        <f ca="1">IFERROR(__xludf.DUMMYFUNCTION("""COMPUTED_VALUE"""),"Table3")</f>
        <v>Table3</v>
      </c>
    </row>
    <row r="1014" spans="1:14" ht="15.75" customHeight="1" x14ac:dyDescent="0.35">
      <c r="A1014" s="12"/>
      <c r="B1014" s="12"/>
      <c r="C1014" s="12" t="str">
        <f ca="1">IFERROR(__xludf.DUMMYFUNCTION("""COMPUTED_VALUE"""),"Part 5: The Final Demise of Our Ancient Foe by Tom Nettles")</f>
        <v>Part 5: The Final Demise of Our Ancient Foe by Tom Nettles</v>
      </c>
      <c r="D1014" s="12"/>
      <c r="E1014" s="12" t="str">
        <f ca="1">IFERROR(__xludf.DUMMYFUNCTION("""COMPUTED_VALUE"""),"CD")</f>
        <v>CD</v>
      </c>
      <c r="F1014" s="12"/>
      <c r="G1014" s="12"/>
      <c r="H1014" s="12"/>
      <c r="I1014" s="12"/>
      <c r="J1014" s="12"/>
      <c r="K1014" s="13"/>
      <c r="L1014" s="12"/>
      <c r="M1014" s="12" t="str">
        <f ca="1">IFERROR(__xludf.DUMMYFUNCTION("""COMPUTED_VALUE"""),"Alliance of Confessing Evangelicals - Quakertown Conference")</f>
        <v>Alliance of Confessing Evangelicals - Quakertown Conference</v>
      </c>
      <c r="N1014" s="12" t="str">
        <f ca="1">IFERROR(__xludf.DUMMYFUNCTION("""COMPUTED_VALUE"""),"Table3")</f>
        <v>Table3</v>
      </c>
    </row>
    <row r="1015" spans="1:14" ht="15.75" customHeight="1" x14ac:dyDescent="0.35">
      <c r="A1015" s="12"/>
      <c r="B1015" s="12"/>
      <c r="C1015" s="12" t="str">
        <f ca="1">IFERROR(__xludf.DUMMYFUNCTION("""COMPUTED_VALUE"""),"Workshop: A Life of Repentance: The Path to Joy by Denniss Cahill")</f>
        <v>Workshop: A Life of Repentance: The Path to Joy by Denniss Cahill</v>
      </c>
      <c r="D1015" s="12"/>
      <c r="E1015" s="12" t="str">
        <f ca="1">IFERROR(__xludf.DUMMYFUNCTION("""COMPUTED_VALUE"""),"CD")</f>
        <v>CD</v>
      </c>
      <c r="F1015" s="12"/>
      <c r="G1015" s="12"/>
      <c r="H1015" s="12"/>
      <c r="I1015" s="12"/>
      <c r="J1015" s="12"/>
      <c r="K1015" s="13"/>
      <c r="L1015" s="12"/>
      <c r="M1015" s="12" t="str">
        <f ca="1">IFERROR(__xludf.DUMMYFUNCTION("""COMPUTED_VALUE"""),"Alliance of Confessing Evangelicals - Quakertown Conference")</f>
        <v>Alliance of Confessing Evangelicals - Quakertown Conference</v>
      </c>
      <c r="N1015" s="12" t="str">
        <f ca="1">IFERROR(__xludf.DUMMYFUNCTION("""COMPUTED_VALUE"""),"Table3")</f>
        <v>Table3</v>
      </c>
    </row>
    <row r="1016" spans="1:14" ht="15.75" customHeight="1" x14ac:dyDescent="0.35">
      <c r="A1016" s="12"/>
      <c r="B1016" s="12"/>
      <c r="C1016" s="12" t="str">
        <f ca="1">IFERROR(__xludf.DUMMYFUNCTION("""COMPUTED_VALUE"""),"Workshop: How Did We Get Here, and Where Is the Culture Going?")</f>
        <v>Workshop: How Did We Get Here, and Where Is the Culture Going?</v>
      </c>
      <c r="D1016" s="12"/>
      <c r="E1016" s="12" t="str">
        <f ca="1">IFERROR(__xludf.DUMMYFUNCTION("""COMPUTED_VALUE"""),"CD")</f>
        <v>CD</v>
      </c>
      <c r="F1016" s="12"/>
      <c r="G1016" s="12"/>
      <c r="H1016" s="12"/>
      <c r="I1016" s="12"/>
      <c r="J1016" s="12"/>
      <c r="K1016" s="13"/>
      <c r="L1016" s="12"/>
      <c r="M1016" s="12" t="str">
        <f ca="1">IFERROR(__xludf.DUMMYFUNCTION("""COMPUTED_VALUE"""),"Alliance of Confessing Evangelicals - Quakertown Conference")</f>
        <v>Alliance of Confessing Evangelicals - Quakertown Conference</v>
      </c>
      <c r="N1016" s="12" t="str">
        <f ca="1">IFERROR(__xludf.DUMMYFUNCTION("""COMPUTED_VALUE"""),"Table3")</f>
        <v>Table3</v>
      </c>
    </row>
    <row r="1017" spans="1:14" ht="15.75" customHeight="1" x14ac:dyDescent="0.35">
      <c r="A1017" s="12"/>
      <c r="B1017" s="12"/>
      <c r="C1017" s="12" t="str">
        <f ca="1">IFERROR(__xludf.DUMMYFUNCTION("""COMPUTED_VALUE"""),"Quieting a Noisy Soul")</f>
        <v>Quieting a Noisy Soul</v>
      </c>
      <c r="D1017" s="12"/>
      <c r="E1017" s="12" t="str">
        <f ca="1">IFERROR(__xludf.DUMMYFUNCTION("""COMPUTED_VALUE"""),"Course")</f>
        <v>Course</v>
      </c>
      <c r="F1017" s="12"/>
      <c r="G1017" s="12"/>
      <c r="H1017" s="12"/>
      <c r="I1017" s="12"/>
      <c r="J1017" s="12"/>
      <c r="K1017" s="13">
        <f ca="1">IFERROR(__xludf.DUMMYFUNCTION("""COMPUTED_VALUE"""),40034)</f>
        <v>40034</v>
      </c>
      <c r="L1017" s="12"/>
      <c r="M1017" s="12" t="str">
        <f ca="1">IFERROR(__xludf.DUMMYFUNCTION("""COMPUTED_VALUE"""),"Berg, Jim")</f>
        <v>Berg, Jim</v>
      </c>
      <c r="N1017" s="12" t="str">
        <f ca="1">IFERROR(__xludf.DUMMYFUNCTION("""COMPUTED_VALUE"""),"Table3")</f>
        <v>Table3</v>
      </c>
    </row>
    <row r="1018" spans="1:14" ht="15.75" customHeight="1" x14ac:dyDescent="0.35">
      <c r="A1018" s="12"/>
      <c r="B1018" s="12"/>
      <c r="C1018" s="12" t="str">
        <f ca="1">IFERROR(__xludf.DUMMYFUNCTION("""COMPUTED_VALUE"""),"How Long, O Lord")</f>
        <v>How Long, O Lord</v>
      </c>
      <c r="D1018" s="12"/>
      <c r="E1018" s="12" t="str">
        <f ca="1">IFERROR(__xludf.DUMMYFUNCTION("""COMPUTED_VALUE"""),"CD")</f>
        <v>CD</v>
      </c>
      <c r="F1018" s="12"/>
      <c r="G1018" s="12"/>
      <c r="H1018" s="12"/>
      <c r="I1018" s="12"/>
      <c r="J1018" s="12"/>
      <c r="K1018" s="13">
        <f ca="1">IFERROR(__xludf.DUMMYFUNCTION("""COMPUTED_VALUE"""),40555)</f>
        <v>40555</v>
      </c>
      <c r="L1018" s="12" t="str">
        <f ca="1">IFERROR(__xludf.DUMMYFUNCTION("""COMPUTED_VALUE"""),"Missing; may be incorrectly labeled")</f>
        <v>Missing; may be incorrectly labeled</v>
      </c>
      <c r="M1018" s="12" t="str">
        <f ca="1">IFERROR(__xludf.DUMMYFUNCTION("""COMPUTED_VALUE"""),"Carson, D.A.")</f>
        <v>Carson, D.A.</v>
      </c>
      <c r="N1018" s="12" t="str">
        <f ca="1">IFERROR(__xludf.DUMMYFUNCTION("""COMPUTED_VALUE"""),"Table3")</f>
        <v>Table3</v>
      </c>
    </row>
    <row r="1019" spans="1:14" ht="15.75" customHeight="1" x14ac:dyDescent="0.35">
      <c r="A1019" s="12"/>
      <c r="B1019" s="12"/>
      <c r="C1019" s="12" t="str">
        <f ca="1">IFERROR(__xludf.DUMMYFUNCTION("""COMPUTED_VALUE"""),"Children Desiring God: Resource Packets")</f>
        <v>Children Desiring God: Resource Packets</v>
      </c>
      <c r="D1019" s="12"/>
      <c r="E1019" s="12" t="str">
        <f ca="1">IFERROR(__xludf.DUMMYFUNCTION("""COMPUTED_VALUE"""),"CD")</f>
        <v>CD</v>
      </c>
      <c r="F1019" s="12"/>
      <c r="G1019" s="12"/>
      <c r="H1019" s="12"/>
      <c r="I1019" s="12"/>
      <c r="J1019" s="12"/>
      <c r="K1019" s="13"/>
      <c r="L1019" s="12"/>
      <c r="M1019" s="12" t="str">
        <f ca="1">IFERROR(__xludf.DUMMYFUNCTION("""COMPUTED_VALUE"""),"Desiring God")</f>
        <v>Desiring God</v>
      </c>
      <c r="N1019" s="12" t="str">
        <f ca="1">IFERROR(__xludf.DUMMYFUNCTION("""COMPUTED_VALUE"""),"Table3")</f>
        <v>Table3</v>
      </c>
    </row>
    <row r="1020" spans="1:14" ht="15.75" customHeight="1" x14ac:dyDescent="0.35">
      <c r="A1020" s="12"/>
      <c r="B1020" s="12"/>
      <c r="C1020" s="12" t="str">
        <f ca="1">IFERROR(__xludf.DUMMYFUNCTION("""COMPUTED_VALUE"""),"Evangelism (Pts. 1, 2, &amp; 3)")</f>
        <v>Evangelism (Pts. 1, 2, &amp; 3)</v>
      </c>
      <c r="D1020" s="12"/>
      <c r="E1020" s="12" t="str">
        <f ca="1">IFERROR(__xludf.DUMMYFUNCTION("""COMPUTED_VALUE"""),"CD")</f>
        <v>CD</v>
      </c>
      <c r="F1020" s="12"/>
      <c r="G1020" s="12"/>
      <c r="H1020" s="12"/>
      <c r="I1020" s="12"/>
      <c r="J1020" s="12"/>
      <c r="K1020" s="13">
        <f ca="1">IFERROR(__xludf.DUMMYFUNCTION("""COMPUTED_VALUE"""),40764)</f>
        <v>40764</v>
      </c>
      <c r="L1020" s="12"/>
      <c r="M1020" s="12" t="str">
        <f ca="1">IFERROR(__xludf.DUMMYFUNCTION("""COMPUTED_VALUE"""),"Dever, Mark")</f>
        <v>Dever, Mark</v>
      </c>
      <c r="N1020" s="12" t="str">
        <f ca="1">IFERROR(__xludf.DUMMYFUNCTION("""COMPUTED_VALUE"""),"Table3")</f>
        <v>Table3</v>
      </c>
    </row>
    <row r="1021" spans="1:14" ht="15.75" customHeight="1" x14ac:dyDescent="0.35">
      <c r="A1021" s="12"/>
      <c r="B1021" s="12"/>
      <c r="C1021" s="12" t="str">
        <f ca="1">IFERROR(__xludf.DUMMYFUNCTION("""COMPUTED_VALUE"""),"Waves of Grace (John Newton)")</f>
        <v>Waves of Grace (John Newton)</v>
      </c>
      <c r="D1021" s="12"/>
      <c r="E1021" s="12" t="str">
        <f ca="1">IFERROR(__xludf.DUMMYFUNCTION("""COMPUTED_VALUE"""),"CD")</f>
        <v>CD</v>
      </c>
      <c r="F1021" s="12"/>
      <c r="G1021" s="12"/>
      <c r="H1021" s="12"/>
      <c r="I1021" s="12"/>
      <c r="J1021" s="12"/>
      <c r="K1021" s="13">
        <f ca="1">IFERROR(__xludf.DUMMYFUNCTION("""COMPUTED_VALUE"""),40188)</f>
        <v>40188</v>
      </c>
      <c r="L1021" s="12"/>
      <c r="M1021" s="12" t="str">
        <f ca="1">IFERROR(__xludf.DUMMYFUNCTION("""COMPUTED_VALUE"""),"Focus on the Family Radio Theatre")</f>
        <v>Focus on the Family Radio Theatre</v>
      </c>
      <c r="N1021" s="12" t="str">
        <f ca="1">IFERROR(__xludf.DUMMYFUNCTION("""COMPUTED_VALUE"""),"Table3")</f>
        <v>Table3</v>
      </c>
    </row>
    <row r="1022" spans="1:14" ht="15.75" customHeight="1" x14ac:dyDescent="0.35">
      <c r="A1022" s="12"/>
      <c r="B1022" s="12"/>
      <c r="C1022" s="12" t="str">
        <f ca="1">IFERROR(__xludf.DUMMYFUNCTION("""COMPUTED_VALUE"""),"3 Steps to Rekindle Your Love for Christ")</f>
        <v>3 Steps to Rekindle Your Love for Christ</v>
      </c>
      <c r="D1022" s="12"/>
      <c r="E1022" s="12" t="str">
        <f ca="1">IFERROR(__xludf.DUMMYFUNCTION("""COMPUTED_VALUE"""),"CD")</f>
        <v>CD</v>
      </c>
      <c r="F1022" s="12"/>
      <c r="G1022" s="12"/>
      <c r="H1022" s="12"/>
      <c r="I1022" s="12"/>
      <c r="J1022" s="12"/>
      <c r="K1022" s="13"/>
      <c r="L1022" s="12"/>
      <c r="M1022" s="12" t="str">
        <f ca="1">IFERROR(__xludf.DUMMYFUNCTION("""COMPUTED_VALUE"""),"MacArthur, John")</f>
        <v>MacArthur, John</v>
      </c>
      <c r="N1022" s="12" t="str">
        <f ca="1">IFERROR(__xludf.DUMMYFUNCTION("""COMPUTED_VALUE"""),"Table3")</f>
        <v>Table3</v>
      </c>
    </row>
    <row r="1023" spans="1:14" ht="15.75" customHeight="1" x14ac:dyDescent="0.35">
      <c r="A1023" s="12"/>
      <c r="B1023" s="12"/>
      <c r="C1023" s="12" t="str">
        <f ca="1">IFERROR(__xludf.DUMMYFUNCTION("""COMPUTED_VALUE"""),"Answering the Key Questions About the Doctrine of Electino")</f>
        <v>Answering the Key Questions About the Doctrine of Electino</v>
      </c>
      <c r="D1023" s="12"/>
      <c r="E1023" s="12" t="str">
        <f ca="1">IFERROR(__xludf.DUMMYFUNCTION("""COMPUTED_VALUE"""),"CD")</f>
        <v>CD</v>
      </c>
      <c r="F1023" s="12"/>
      <c r="G1023" s="12"/>
      <c r="H1023" s="12"/>
      <c r="I1023" s="12"/>
      <c r="J1023" s="12"/>
      <c r="K1023" s="13"/>
      <c r="L1023" s="12"/>
      <c r="M1023" s="12" t="str">
        <f ca="1">IFERROR(__xludf.DUMMYFUNCTION("""COMPUTED_VALUE"""),"MacArthur, John")</f>
        <v>MacArthur, John</v>
      </c>
      <c r="N1023" s="12" t="str">
        <f ca="1">IFERROR(__xludf.DUMMYFUNCTION("""COMPUTED_VALUE"""),"Table3")</f>
        <v>Table3</v>
      </c>
    </row>
    <row r="1024" spans="1:14" ht="15.75" customHeight="1" x14ac:dyDescent="0.35">
      <c r="A1024" s="12"/>
      <c r="B1024" s="12"/>
      <c r="C1024" s="12" t="str">
        <f ca="1">IFERROR(__xludf.DUMMYFUNCTION("""COMPUTED_VALUE"""),"Case Against the R-Rated Church")</f>
        <v>Case Against the R-Rated Church</v>
      </c>
      <c r="D1024" s="12"/>
      <c r="E1024" s="12" t="str">
        <f ca="1">IFERROR(__xludf.DUMMYFUNCTION("""COMPUTED_VALUE"""),"CD")</f>
        <v>CD</v>
      </c>
      <c r="F1024" s="12"/>
      <c r="G1024" s="12"/>
      <c r="H1024" s="12"/>
      <c r="I1024" s="12"/>
      <c r="J1024" s="12"/>
      <c r="K1024" s="13"/>
      <c r="L1024" s="12"/>
      <c r="M1024" s="12" t="str">
        <f ca="1">IFERROR(__xludf.DUMMYFUNCTION("""COMPUTED_VALUE"""),"MacArthur, John")</f>
        <v>MacArthur, John</v>
      </c>
      <c r="N1024" s="12" t="str">
        <f ca="1">IFERROR(__xludf.DUMMYFUNCTION("""COMPUTED_VALUE"""),"Table3")</f>
        <v>Table3</v>
      </c>
    </row>
    <row r="1025" spans="1:14" ht="15.75" customHeight="1" x14ac:dyDescent="0.35">
      <c r="A1025" s="12"/>
      <c r="B1025" s="12"/>
      <c r="C1025" s="12" t="str">
        <f ca="1">IFERROR(__xludf.DUMMYFUNCTION("""COMPUTED_VALUE"""),"Defending the Biblical Account of Creation")</f>
        <v>Defending the Biblical Account of Creation</v>
      </c>
      <c r="D1025" s="12"/>
      <c r="E1025" s="12" t="str">
        <f ca="1">IFERROR(__xludf.DUMMYFUNCTION("""COMPUTED_VALUE"""),"CD")</f>
        <v>CD</v>
      </c>
      <c r="F1025" s="12"/>
      <c r="G1025" s="12"/>
      <c r="H1025" s="12"/>
      <c r="I1025" s="12"/>
      <c r="J1025" s="12"/>
      <c r="K1025" s="13"/>
      <c r="L1025" s="12"/>
      <c r="M1025" s="12" t="str">
        <f ca="1">IFERROR(__xludf.DUMMYFUNCTION("""COMPUTED_VALUE"""),"MacArthur, John")</f>
        <v>MacArthur, John</v>
      </c>
      <c r="N1025" s="12" t="str">
        <f ca="1">IFERROR(__xludf.DUMMYFUNCTION("""COMPUTED_VALUE"""),"Table3")</f>
        <v>Table3</v>
      </c>
    </row>
    <row r="1026" spans="1:14" ht="15.75" customHeight="1" x14ac:dyDescent="0.35">
      <c r="A1026" s="12"/>
      <c r="B1026" s="12"/>
      <c r="C1026" s="12" t="str">
        <f ca="1">IFERROR(__xludf.DUMMYFUNCTION("""COMPUTED_VALUE"""),"Defending the Jesus of the Bible")</f>
        <v>Defending the Jesus of the Bible</v>
      </c>
      <c r="D1026" s="12"/>
      <c r="E1026" s="12" t="str">
        <f ca="1">IFERROR(__xludf.DUMMYFUNCTION("""COMPUTED_VALUE"""),"CD")</f>
        <v>CD</v>
      </c>
      <c r="F1026" s="12"/>
      <c r="G1026" s="12"/>
      <c r="H1026" s="12"/>
      <c r="I1026" s="12"/>
      <c r="J1026" s="12"/>
      <c r="K1026" s="13"/>
      <c r="L1026" s="12"/>
      <c r="M1026" s="12" t="str">
        <f ca="1">IFERROR(__xludf.DUMMYFUNCTION("""COMPUTED_VALUE"""),"MacArthur, John")</f>
        <v>MacArthur, John</v>
      </c>
      <c r="N1026" s="12" t="str">
        <f ca="1">IFERROR(__xludf.DUMMYFUNCTION("""COMPUTED_VALUE"""),"Table3")</f>
        <v>Table3</v>
      </c>
    </row>
    <row r="1027" spans="1:14" ht="15.75" customHeight="1" x14ac:dyDescent="0.35">
      <c r="A1027" s="12"/>
      <c r="B1027" s="12"/>
      <c r="C1027" s="12" t="str">
        <f ca="1">IFERROR(__xludf.DUMMYFUNCTION("""COMPUTED_VALUE"""),"Defending Yourself in the War on Sin")</f>
        <v>Defending Yourself in the War on Sin</v>
      </c>
      <c r="D1027" s="12"/>
      <c r="E1027" s="12" t="str">
        <f ca="1">IFERROR(__xludf.DUMMYFUNCTION("""COMPUTED_VALUE"""),"CD")</f>
        <v>CD</v>
      </c>
      <c r="F1027" s="12"/>
      <c r="G1027" s="12"/>
      <c r="H1027" s="12"/>
      <c r="I1027" s="12"/>
      <c r="J1027" s="12"/>
      <c r="K1027" s="13"/>
      <c r="L1027" s="12"/>
      <c r="M1027" s="12" t="str">
        <f ca="1">IFERROR(__xludf.DUMMYFUNCTION("""COMPUTED_VALUE"""),"MacArthur, John")</f>
        <v>MacArthur, John</v>
      </c>
      <c r="N1027" s="12" t="str">
        <f ca="1">IFERROR(__xludf.DUMMYFUNCTION("""COMPUTED_VALUE"""),"Table3")</f>
        <v>Table3</v>
      </c>
    </row>
    <row r="1028" spans="1:14" ht="15.75" customHeight="1" x14ac:dyDescent="0.35">
      <c r="A1028" s="12"/>
      <c r="B1028" s="12"/>
      <c r="C1028" s="12" t="str">
        <f ca="1">IFERROR(__xludf.DUMMYFUNCTION("""COMPUTED_VALUE"""),"Exposing the Idolatry of Mary Worship: What the Bible Says")</f>
        <v>Exposing the Idolatry of Mary Worship: What the Bible Says</v>
      </c>
      <c r="D1028" s="12"/>
      <c r="E1028" s="12" t="str">
        <f ca="1">IFERROR(__xludf.DUMMYFUNCTION("""COMPUTED_VALUE"""),"CD")</f>
        <v>CD</v>
      </c>
      <c r="F1028" s="12"/>
      <c r="G1028" s="12"/>
      <c r="H1028" s="12"/>
      <c r="I1028" s="12"/>
      <c r="J1028" s="12"/>
      <c r="K1028" s="13"/>
      <c r="L1028" s="12"/>
      <c r="M1028" s="12" t="str">
        <f ca="1">IFERROR(__xludf.DUMMYFUNCTION("""COMPUTED_VALUE"""),"MacArthur, John")</f>
        <v>MacArthur, John</v>
      </c>
      <c r="N1028" s="12" t="str">
        <f ca="1">IFERROR(__xludf.DUMMYFUNCTION("""COMPUTED_VALUE"""),"Table3")</f>
        <v>Table3</v>
      </c>
    </row>
    <row r="1029" spans="1:14" ht="15.75" customHeight="1" x14ac:dyDescent="0.35">
      <c r="A1029" s="12"/>
      <c r="B1029" s="12"/>
      <c r="C1029" s="12" t="str">
        <f ca="1">IFERROR(__xludf.DUMMYFUNCTION("""COMPUTED_VALUE"""),"The Fulfilled Family: Strengthening Your Family by the Book")</f>
        <v>The Fulfilled Family: Strengthening Your Family by the Book</v>
      </c>
      <c r="D1029" s="12"/>
      <c r="E1029" s="12" t="str">
        <f ca="1">IFERROR(__xludf.DUMMYFUNCTION("""COMPUTED_VALUE"""),"CD")</f>
        <v>CD</v>
      </c>
      <c r="F1029" s="12"/>
      <c r="G1029" s="12"/>
      <c r="H1029" s="12"/>
      <c r="I1029" s="12"/>
      <c r="J1029" s="12"/>
      <c r="K1029" s="13"/>
      <c r="L1029" s="12"/>
      <c r="M1029" s="12" t="str">
        <f ca="1">IFERROR(__xludf.DUMMYFUNCTION("""COMPUTED_VALUE"""),"MacArthur, John")</f>
        <v>MacArthur, John</v>
      </c>
      <c r="N1029" s="12" t="str">
        <f ca="1">IFERROR(__xludf.DUMMYFUNCTION("""COMPUTED_VALUE"""),"Table3")</f>
        <v>Table3</v>
      </c>
    </row>
    <row r="1030" spans="1:14" ht="15.75" customHeight="1" x14ac:dyDescent="0.35">
      <c r="A1030" s="12"/>
      <c r="B1030" s="12"/>
      <c r="C1030" s="12" t="str">
        <f ca="1">IFERROR(__xludf.DUMMYFUNCTION("""COMPUTED_VALUE"""),"The Glory of Christian Suffering: 1 Peter")</f>
        <v>The Glory of Christian Suffering: 1 Peter</v>
      </c>
      <c r="D1030" s="12"/>
      <c r="E1030" s="12" t="str">
        <f ca="1">IFERROR(__xludf.DUMMYFUNCTION("""COMPUTED_VALUE"""),"CD")</f>
        <v>CD</v>
      </c>
      <c r="F1030" s="12"/>
      <c r="G1030" s="12"/>
      <c r="H1030" s="12"/>
      <c r="I1030" s="12"/>
      <c r="J1030" s="12"/>
      <c r="K1030" s="13"/>
      <c r="L1030" s="12"/>
      <c r="M1030" s="12" t="str">
        <f ca="1">IFERROR(__xludf.DUMMYFUNCTION("""COMPUTED_VALUE"""),"MacArthur, John")</f>
        <v>MacArthur, John</v>
      </c>
      <c r="N1030" s="12" t="str">
        <f ca="1">IFERROR(__xludf.DUMMYFUNCTION("""COMPUTED_VALUE"""),"Table3")</f>
        <v>Table3</v>
      </c>
    </row>
    <row r="1031" spans="1:14" ht="15.75" customHeight="1" x14ac:dyDescent="0.35">
      <c r="A1031" s="12"/>
      <c r="B1031" s="12"/>
      <c r="C1031" s="12" t="str">
        <f ca="1">IFERROR(__xludf.DUMMYFUNCTION("""COMPUTED_VALUE"""),"God's Glory in Christ's Cross: Romans 3:25-31")</f>
        <v>God's Glory in Christ's Cross: Romans 3:25-31</v>
      </c>
      <c r="D1031" s="12"/>
      <c r="E1031" s="12" t="str">
        <f ca="1">IFERROR(__xludf.DUMMYFUNCTION("""COMPUTED_VALUE"""),"CD")</f>
        <v>CD</v>
      </c>
      <c r="F1031" s="12"/>
      <c r="G1031" s="12"/>
      <c r="H1031" s="12"/>
      <c r="I1031" s="12"/>
      <c r="J1031" s="12"/>
      <c r="K1031" s="13"/>
      <c r="L1031" s="12"/>
      <c r="M1031" s="12" t="str">
        <f ca="1">IFERROR(__xludf.DUMMYFUNCTION("""COMPUTED_VALUE"""),"MacArthur, John")</f>
        <v>MacArthur, John</v>
      </c>
      <c r="N1031" s="12" t="str">
        <f ca="1">IFERROR(__xludf.DUMMYFUNCTION("""COMPUTED_VALUE"""),"Table3")</f>
        <v>Table3</v>
      </c>
    </row>
    <row r="1032" spans="1:14" ht="15.75" customHeight="1" x14ac:dyDescent="0.35">
      <c r="A1032" s="12"/>
      <c r="B1032" s="12"/>
      <c r="C1032" s="12" t="str">
        <f ca="1">IFERROR(__xludf.DUMMYFUNCTION("""COMPUTED_VALUE"""),"God's Purpose in Our Pain: 2 Corinthians 12:7-10")</f>
        <v>God's Purpose in Our Pain: 2 Corinthians 12:7-10</v>
      </c>
      <c r="D1032" s="12"/>
      <c r="E1032" s="12" t="str">
        <f ca="1">IFERROR(__xludf.DUMMYFUNCTION("""COMPUTED_VALUE"""),"CD")</f>
        <v>CD</v>
      </c>
      <c r="F1032" s="12"/>
      <c r="G1032" s="12"/>
      <c r="H1032" s="12"/>
      <c r="I1032" s="12"/>
      <c r="J1032" s="12"/>
      <c r="K1032" s="13"/>
      <c r="L1032" s="12"/>
      <c r="M1032" s="12" t="str">
        <f ca="1">IFERROR(__xludf.DUMMYFUNCTION("""COMPUTED_VALUE"""),"MacArthur, John")</f>
        <v>MacArthur, John</v>
      </c>
      <c r="N1032" s="12" t="str">
        <f ca="1">IFERROR(__xludf.DUMMYFUNCTION("""COMPUTED_VALUE"""),"Table3")</f>
        <v>Table3</v>
      </c>
    </row>
    <row r="1033" spans="1:14" ht="15.75" customHeight="1" x14ac:dyDescent="0.35">
      <c r="A1033" s="12"/>
      <c r="B1033" s="12"/>
      <c r="C1033" s="12" t="str">
        <f ca="1">IFERROR(__xludf.DUMMYFUNCTION("""COMPUTED_VALUE"""),"The Holiness of God")</f>
        <v>The Holiness of God</v>
      </c>
      <c r="D1033" s="12"/>
      <c r="E1033" s="12" t="str">
        <f ca="1">IFERROR(__xludf.DUMMYFUNCTION("""COMPUTED_VALUE"""),"CD")</f>
        <v>CD</v>
      </c>
      <c r="F1033" s="12"/>
      <c r="G1033" s="12"/>
      <c r="H1033" s="12"/>
      <c r="I1033" s="12"/>
      <c r="J1033" s="12"/>
      <c r="K1033" s="13"/>
      <c r="L1033" s="12"/>
      <c r="M1033" s="12" t="str">
        <f ca="1">IFERROR(__xludf.DUMMYFUNCTION("""COMPUTED_VALUE"""),"MacArthur, John")</f>
        <v>MacArthur, John</v>
      </c>
      <c r="N1033" s="12" t="str">
        <f ca="1">IFERROR(__xludf.DUMMYFUNCTION("""COMPUTED_VALUE"""),"Table3")</f>
        <v>Table3</v>
      </c>
    </row>
    <row r="1034" spans="1:14" ht="15.75" customHeight="1" x14ac:dyDescent="0.35">
      <c r="A1034" s="12"/>
      <c r="B1034" s="12"/>
      <c r="C1034" s="12" t="str">
        <f ca="1">IFERROR(__xludf.DUMMYFUNCTION("""COMPUTED_VALUE"""),"How to Identify Terrorists in the Church")</f>
        <v>How to Identify Terrorists in the Church</v>
      </c>
      <c r="D1034" s="12"/>
      <c r="E1034" s="12" t="str">
        <f ca="1">IFERROR(__xludf.DUMMYFUNCTION("""COMPUTED_VALUE"""),"CD")</f>
        <v>CD</v>
      </c>
      <c r="F1034" s="12"/>
      <c r="G1034" s="12"/>
      <c r="H1034" s="12"/>
      <c r="I1034" s="12"/>
      <c r="J1034" s="12"/>
      <c r="K1034" s="13"/>
      <c r="L1034" s="12"/>
      <c r="M1034" s="12" t="str">
        <f ca="1">IFERROR(__xludf.DUMMYFUNCTION("""COMPUTED_VALUE"""),"MacArthur, John")</f>
        <v>MacArthur, John</v>
      </c>
      <c r="N1034" s="12" t="str">
        <f ca="1">IFERROR(__xludf.DUMMYFUNCTION("""COMPUTED_VALUE"""),"Table3")</f>
        <v>Table3</v>
      </c>
    </row>
    <row r="1035" spans="1:14" ht="15.75" customHeight="1" x14ac:dyDescent="0.35">
      <c r="A1035" s="12"/>
      <c r="B1035" s="12"/>
      <c r="C1035" s="12" t="str">
        <f ca="1">IFERROR(__xludf.DUMMYFUNCTION("""COMPUTED_VALUE"""),"John MacArthur Takes the Hot Seat")</f>
        <v>John MacArthur Takes the Hot Seat</v>
      </c>
      <c r="D1035" s="12"/>
      <c r="E1035" s="12" t="str">
        <f ca="1">IFERROR(__xludf.DUMMYFUNCTION("""COMPUTED_VALUE"""),"CD")</f>
        <v>CD</v>
      </c>
      <c r="F1035" s="12"/>
      <c r="G1035" s="12"/>
      <c r="H1035" s="12"/>
      <c r="I1035" s="12"/>
      <c r="J1035" s="12"/>
      <c r="K1035" s="13"/>
      <c r="L1035" s="12"/>
      <c r="M1035" s="12" t="str">
        <f ca="1">IFERROR(__xludf.DUMMYFUNCTION("""COMPUTED_VALUE"""),"MacArthur, John")</f>
        <v>MacArthur, John</v>
      </c>
      <c r="N1035" s="12" t="str">
        <f ca="1">IFERROR(__xludf.DUMMYFUNCTION("""COMPUTED_VALUE"""),"Table3")</f>
        <v>Table3</v>
      </c>
    </row>
    <row r="1036" spans="1:14" ht="15.75" customHeight="1" x14ac:dyDescent="0.35">
      <c r="A1036" s="12"/>
      <c r="B1036" s="12"/>
      <c r="C1036" s="12" t="str">
        <f ca="1">IFERROR(__xludf.DUMMYFUNCTION("""COMPUTED_VALUE"""),"John MacArthur's Life Testimony")</f>
        <v>John MacArthur's Life Testimony</v>
      </c>
      <c r="D1036" s="12"/>
      <c r="E1036" s="12" t="str">
        <f ca="1">IFERROR(__xludf.DUMMYFUNCTION("""COMPUTED_VALUE"""),"CD")</f>
        <v>CD</v>
      </c>
      <c r="F1036" s="12"/>
      <c r="G1036" s="12"/>
      <c r="H1036" s="12"/>
      <c r="I1036" s="12"/>
      <c r="J1036" s="12"/>
      <c r="K1036" s="13"/>
      <c r="L1036" s="12"/>
      <c r="M1036" s="12" t="str">
        <f ca="1">IFERROR(__xludf.DUMMYFUNCTION("""COMPUTED_VALUE"""),"MacArthur, John")</f>
        <v>MacArthur, John</v>
      </c>
      <c r="N1036" s="12" t="str">
        <f ca="1">IFERROR(__xludf.DUMMYFUNCTION("""COMPUTED_VALUE"""),"Table3")</f>
        <v>Table3</v>
      </c>
    </row>
    <row r="1037" spans="1:14" ht="15.75" customHeight="1" x14ac:dyDescent="0.35">
      <c r="A1037" s="12"/>
      <c r="B1037" s="12"/>
      <c r="C1037" s="12" t="str">
        <f ca="1">IFERROR(__xludf.DUMMYFUNCTION("""COMPUTED_VALUE"""),"Lessons from a Modern Day Moral Shipwreck")</f>
        <v>Lessons from a Modern Day Moral Shipwreck</v>
      </c>
      <c r="D1037" s="12"/>
      <c r="E1037" s="12" t="str">
        <f ca="1">IFERROR(__xludf.DUMMYFUNCTION("""COMPUTED_VALUE"""),"CD")</f>
        <v>CD</v>
      </c>
      <c r="F1037" s="12"/>
      <c r="G1037" s="12"/>
      <c r="H1037" s="12"/>
      <c r="I1037" s="12"/>
      <c r="J1037" s="12"/>
      <c r="K1037" s="13"/>
      <c r="L1037" s="12"/>
      <c r="M1037" s="12" t="str">
        <f ca="1">IFERROR(__xludf.DUMMYFUNCTION("""COMPUTED_VALUE"""),"MacArthur, John")</f>
        <v>MacArthur, John</v>
      </c>
      <c r="N1037" s="12" t="str">
        <f ca="1">IFERROR(__xludf.DUMMYFUNCTION("""COMPUTED_VALUE"""),"Table3")</f>
        <v>Table3</v>
      </c>
    </row>
    <row r="1038" spans="1:14" ht="15.75" customHeight="1" x14ac:dyDescent="0.35">
      <c r="A1038" s="12"/>
      <c r="B1038" s="12"/>
      <c r="C1038" s="12" t="str">
        <f ca="1">IFERROR(__xludf.DUMMYFUNCTION("""COMPUTED_VALUE"""),"Long War on the Truth: Jude")</f>
        <v>Long War on the Truth: Jude</v>
      </c>
      <c r="D1038" s="12"/>
      <c r="E1038" s="12" t="str">
        <f ca="1">IFERROR(__xludf.DUMMYFUNCTION("""COMPUTED_VALUE"""),"CD")</f>
        <v>CD</v>
      </c>
      <c r="F1038" s="12"/>
      <c r="G1038" s="12"/>
      <c r="H1038" s="12"/>
      <c r="I1038" s="12"/>
      <c r="J1038" s="12"/>
      <c r="K1038" s="13"/>
      <c r="L1038" s="12"/>
      <c r="M1038" s="12" t="str">
        <f ca="1">IFERROR(__xludf.DUMMYFUNCTION("""COMPUTED_VALUE"""),"MacArthur, John")</f>
        <v>MacArthur, John</v>
      </c>
      <c r="N1038" s="12" t="str">
        <f ca="1">IFERROR(__xludf.DUMMYFUNCTION("""COMPUTED_VALUE"""),"Table3")</f>
        <v>Table3</v>
      </c>
    </row>
    <row r="1039" spans="1:14" ht="15.75" customHeight="1" x14ac:dyDescent="0.35">
      <c r="A1039" s="12"/>
      <c r="B1039" s="12"/>
      <c r="C1039" s="12" t="str">
        <f ca="1">IFERROR(__xludf.DUMMYFUNCTION("""COMPUTED_VALUE"""),"The Maniac Who Became a Missionary: Part 2")</f>
        <v>The Maniac Who Became a Missionary: Part 2</v>
      </c>
      <c r="D1039" s="12"/>
      <c r="E1039" s="12" t="str">
        <f ca="1">IFERROR(__xludf.DUMMYFUNCTION("""COMPUTED_VALUE"""),"CD")</f>
        <v>CD</v>
      </c>
      <c r="F1039" s="12"/>
      <c r="G1039" s="12"/>
      <c r="H1039" s="12"/>
      <c r="I1039" s="12"/>
      <c r="J1039" s="12"/>
      <c r="K1039" s="13"/>
      <c r="L1039" s="12"/>
      <c r="M1039" s="12" t="str">
        <f ca="1">IFERROR(__xludf.DUMMYFUNCTION("""COMPUTED_VALUE"""),"MacArthur, John")</f>
        <v>MacArthur, John</v>
      </c>
      <c r="N1039" s="12" t="str">
        <f ca="1">IFERROR(__xludf.DUMMYFUNCTION("""COMPUTED_VALUE"""),"Table3")</f>
        <v>Table3</v>
      </c>
    </row>
    <row r="1040" spans="1:14" ht="15.75" customHeight="1" x14ac:dyDescent="0.35">
      <c r="A1040" s="12"/>
      <c r="B1040" s="12"/>
      <c r="C1040" s="12" t="str">
        <f ca="1">IFERROR(__xludf.DUMMYFUNCTION("""COMPUTED_VALUE"""),"Principles for Powerful Living: 1 Corinthians 16:13-14")</f>
        <v>Principles for Powerful Living: 1 Corinthians 16:13-14</v>
      </c>
      <c r="D1040" s="12"/>
      <c r="E1040" s="12" t="str">
        <f ca="1">IFERROR(__xludf.DUMMYFUNCTION("""COMPUTED_VALUE"""),"CD")</f>
        <v>CD</v>
      </c>
      <c r="F1040" s="12"/>
      <c r="G1040" s="12"/>
      <c r="H1040" s="12"/>
      <c r="I1040" s="12"/>
      <c r="J1040" s="12"/>
      <c r="K1040" s="13"/>
      <c r="L1040" s="12"/>
      <c r="M1040" s="12" t="str">
        <f ca="1">IFERROR(__xludf.DUMMYFUNCTION("""COMPUTED_VALUE"""),"MacArthur, John")</f>
        <v>MacArthur, John</v>
      </c>
      <c r="N1040" s="12" t="str">
        <f ca="1">IFERROR(__xludf.DUMMYFUNCTION("""COMPUTED_VALUE"""),"Table3")</f>
        <v>Table3</v>
      </c>
    </row>
    <row r="1041" spans="1:14" ht="15.75" customHeight="1" x14ac:dyDescent="0.35">
      <c r="A1041" s="12"/>
      <c r="B1041" s="12"/>
      <c r="C1041" s="12" t="str">
        <f ca="1">IFERROR(__xludf.DUMMYFUNCTION("""COMPUTED_VALUE"""),"Sovereign Election")</f>
        <v>Sovereign Election</v>
      </c>
      <c r="D1041" s="12"/>
      <c r="E1041" s="12" t="str">
        <f ca="1">IFERROR(__xludf.DUMMYFUNCTION("""COMPUTED_VALUE"""),"CD")</f>
        <v>CD</v>
      </c>
      <c r="F1041" s="12"/>
      <c r="G1041" s="12"/>
      <c r="H1041" s="12"/>
      <c r="I1041" s="12"/>
      <c r="J1041" s="12"/>
      <c r="K1041" s="13"/>
      <c r="L1041" s="12"/>
      <c r="M1041" s="12" t="str">
        <f ca="1">IFERROR(__xludf.DUMMYFUNCTION("""COMPUTED_VALUE"""),"MacArthur, John")</f>
        <v>MacArthur, John</v>
      </c>
      <c r="N1041" s="12" t="str">
        <f ca="1">IFERROR(__xludf.DUMMYFUNCTION("""COMPUTED_VALUE"""),"Table3")</f>
        <v>Table3</v>
      </c>
    </row>
    <row r="1042" spans="1:14" ht="15.75" customHeight="1" x14ac:dyDescent="0.35">
      <c r="A1042" s="12"/>
      <c r="B1042" s="12"/>
      <c r="C1042" s="12" t="str">
        <f ca="1">IFERROR(__xludf.DUMMYFUNCTION("""COMPUTED_VALUE"""),"Straight Talk About the Seeker Church Movement")</f>
        <v>Straight Talk About the Seeker Church Movement</v>
      </c>
      <c r="D1042" s="12"/>
      <c r="E1042" s="12" t="str">
        <f ca="1">IFERROR(__xludf.DUMMYFUNCTION("""COMPUTED_VALUE"""),"CD")</f>
        <v>CD</v>
      </c>
      <c r="F1042" s="12"/>
      <c r="G1042" s="12"/>
      <c r="H1042" s="12"/>
      <c r="I1042" s="12"/>
      <c r="J1042" s="12"/>
      <c r="K1042" s="13"/>
      <c r="L1042" s="12"/>
      <c r="M1042" s="12" t="str">
        <f ca="1">IFERROR(__xludf.DUMMYFUNCTION("""COMPUTED_VALUE"""),"MacArthur, John")</f>
        <v>MacArthur, John</v>
      </c>
      <c r="N1042" s="12" t="str">
        <f ca="1">IFERROR(__xludf.DUMMYFUNCTION("""COMPUTED_VALUE"""),"Table3")</f>
        <v>Table3</v>
      </c>
    </row>
    <row r="1043" spans="1:14" ht="15.75" customHeight="1" x14ac:dyDescent="0.35">
      <c r="A1043" s="12"/>
      <c r="B1043" s="12"/>
      <c r="C1043" s="12" t="str">
        <f ca="1">IFERROR(__xludf.DUMMYFUNCTION("""COMPUTED_VALUE"""),"A Tale of Two Sons")</f>
        <v>A Tale of Two Sons</v>
      </c>
      <c r="D1043" s="12"/>
      <c r="E1043" s="12" t="str">
        <f ca="1">IFERROR(__xludf.DUMMYFUNCTION("""COMPUTED_VALUE"""),"CD")</f>
        <v>CD</v>
      </c>
      <c r="F1043" s="12"/>
      <c r="G1043" s="12"/>
      <c r="H1043" s="12"/>
      <c r="I1043" s="12"/>
      <c r="J1043" s="12"/>
      <c r="K1043" s="13">
        <f ca="1">IFERROR(__xludf.DUMMYFUNCTION("""COMPUTED_VALUE"""),40858)</f>
        <v>40858</v>
      </c>
      <c r="L1043" s="12"/>
      <c r="M1043" s="12" t="str">
        <f ca="1">IFERROR(__xludf.DUMMYFUNCTION("""COMPUTED_VALUE"""),"MacArthur, John")</f>
        <v>MacArthur, John</v>
      </c>
      <c r="N1043" s="12" t="str">
        <f ca="1">IFERROR(__xludf.DUMMYFUNCTION("""COMPUTED_VALUE"""),"Table3")</f>
        <v>Table3</v>
      </c>
    </row>
    <row r="1044" spans="1:14" ht="15.75" customHeight="1" x14ac:dyDescent="0.35">
      <c r="A1044" s="12"/>
      <c r="B1044" s="12"/>
      <c r="C1044" s="12" t="str">
        <f ca="1">IFERROR(__xludf.DUMMYFUNCTION("""COMPUTED_VALUE"""),"Two Paths, One Way")</f>
        <v>Two Paths, One Way</v>
      </c>
      <c r="D1044" s="12"/>
      <c r="E1044" s="12" t="str">
        <f ca="1">IFERROR(__xludf.DUMMYFUNCTION("""COMPUTED_VALUE"""),"CD")</f>
        <v>CD</v>
      </c>
      <c r="F1044" s="12"/>
      <c r="G1044" s="12"/>
      <c r="H1044" s="12"/>
      <c r="I1044" s="12"/>
      <c r="J1044" s="12"/>
      <c r="K1044" s="13"/>
      <c r="L1044" s="12"/>
      <c r="M1044" s="12" t="str">
        <f ca="1">IFERROR(__xludf.DUMMYFUNCTION("""COMPUTED_VALUE"""),"MacArthur, John")</f>
        <v>MacArthur, John</v>
      </c>
      <c r="N1044" s="12" t="str">
        <f ca="1">IFERROR(__xludf.DUMMYFUNCTION("""COMPUTED_VALUE"""),"Table3")</f>
        <v>Table3</v>
      </c>
    </row>
    <row r="1045" spans="1:14" ht="15.75" customHeight="1" x14ac:dyDescent="0.35">
      <c r="A1045" s="12"/>
      <c r="B1045" s="12"/>
      <c r="C1045" s="12" t="str">
        <f ca="1">IFERROR(__xludf.DUMMYFUNCTION("""COMPUTED_VALUE"""),"Understanding the Doctrine of Inspiration")</f>
        <v>Understanding the Doctrine of Inspiration</v>
      </c>
      <c r="D1045" s="12"/>
      <c r="E1045" s="12" t="str">
        <f ca="1">IFERROR(__xludf.DUMMYFUNCTION("""COMPUTED_VALUE"""),"CD")</f>
        <v>CD</v>
      </c>
      <c r="F1045" s="12"/>
      <c r="G1045" s="12"/>
      <c r="H1045" s="12"/>
      <c r="I1045" s="12"/>
      <c r="J1045" s="12"/>
      <c r="K1045" s="13"/>
      <c r="L1045" s="12"/>
      <c r="M1045" s="12" t="str">
        <f ca="1">IFERROR(__xludf.DUMMYFUNCTION("""COMPUTED_VALUE"""),"MacArthur, John")</f>
        <v>MacArthur, John</v>
      </c>
      <c r="N1045" s="12" t="str">
        <f ca="1">IFERROR(__xludf.DUMMYFUNCTION("""COMPUTED_VALUE"""),"Table3")</f>
        <v>Table3</v>
      </c>
    </row>
    <row r="1046" spans="1:14" ht="15.75" customHeight="1" x14ac:dyDescent="0.35">
      <c r="A1046" s="12"/>
      <c r="B1046" s="12"/>
      <c r="C1046" s="12" t="str">
        <f ca="1">IFERROR(__xludf.DUMMYFUNCTION("""COMPUTED_VALUE"""),"Understanding the Pope and the Catholic System")</f>
        <v>Understanding the Pope and the Catholic System</v>
      </c>
      <c r="D1046" s="12"/>
      <c r="E1046" s="12" t="str">
        <f ca="1">IFERROR(__xludf.DUMMYFUNCTION("""COMPUTED_VALUE"""),"CD")</f>
        <v>CD</v>
      </c>
      <c r="F1046" s="12"/>
      <c r="G1046" s="12"/>
      <c r="H1046" s="12"/>
      <c r="I1046" s="12"/>
      <c r="J1046" s="12"/>
      <c r="K1046" s="13"/>
      <c r="L1046" s="12"/>
      <c r="M1046" s="12" t="str">
        <f ca="1">IFERROR(__xludf.DUMMYFUNCTION("""COMPUTED_VALUE"""),"MacArthur, John")</f>
        <v>MacArthur, John</v>
      </c>
      <c r="N1046" s="12" t="str">
        <f ca="1">IFERROR(__xludf.DUMMYFUNCTION("""COMPUTED_VALUE"""),"Table3")</f>
        <v>Table3</v>
      </c>
    </row>
    <row r="1047" spans="1:14" ht="15.75" customHeight="1" x14ac:dyDescent="0.35">
      <c r="A1047" s="12"/>
      <c r="B1047" s="12"/>
      <c r="C1047" s="12" t="str">
        <f ca="1">IFERROR(__xludf.DUMMYFUNCTION("""COMPUTED_VALUE"""),"What Happens When a Christian Dies?")</f>
        <v>What Happens When a Christian Dies?</v>
      </c>
      <c r="D1047" s="12"/>
      <c r="E1047" s="12" t="str">
        <f ca="1">IFERROR(__xludf.DUMMYFUNCTION("""COMPUTED_VALUE"""),"CD")</f>
        <v>CD</v>
      </c>
      <c r="F1047" s="12"/>
      <c r="G1047" s="12"/>
      <c r="H1047" s="12"/>
      <c r="I1047" s="12"/>
      <c r="J1047" s="12"/>
      <c r="K1047" s="13"/>
      <c r="L1047" s="12"/>
      <c r="M1047" s="12" t="str">
        <f ca="1">IFERROR(__xludf.DUMMYFUNCTION("""COMPUTED_VALUE"""),"MacArthur, John")</f>
        <v>MacArthur, John</v>
      </c>
      <c r="N1047" s="12" t="str">
        <f ca="1">IFERROR(__xludf.DUMMYFUNCTION("""COMPUTED_VALUE"""),"Table3")</f>
        <v>Table3</v>
      </c>
    </row>
    <row r="1048" spans="1:14" ht="15.75" customHeight="1" x14ac:dyDescent="0.35">
      <c r="A1048" s="12"/>
      <c r="B1048" s="12"/>
      <c r="C1048" s="12" t="str">
        <f ca="1">IFERROR(__xludf.DUMMYFUNCTION("""COMPUTED_VALUE"""),"What to Look for in a Pastor")</f>
        <v>What to Look for in a Pastor</v>
      </c>
      <c r="D1048" s="12"/>
      <c r="E1048" s="12" t="str">
        <f ca="1">IFERROR(__xludf.DUMMYFUNCTION("""COMPUTED_VALUE"""),"CD")</f>
        <v>CD</v>
      </c>
      <c r="F1048" s="12"/>
      <c r="G1048" s="12"/>
      <c r="H1048" s="12"/>
      <c r="I1048" s="12"/>
      <c r="J1048" s="12"/>
      <c r="K1048" s="13"/>
      <c r="L1048" s="12"/>
      <c r="M1048" s="12" t="str">
        <f ca="1">IFERROR(__xludf.DUMMYFUNCTION("""COMPUTED_VALUE"""),"MacArthur, John")</f>
        <v>MacArthur, John</v>
      </c>
      <c r="N1048" s="12" t="str">
        <f ca="1">IFERROR(__xludf.DUMMYFUNCTION("""COMPUTED_VALUE"""),"Table3")</f>
        <v>Table3</v>
      </c>
    </row>
    <row r="1049" spans="1:14" ht="15.75" customHeight="1" x14ac:dyDescent="0.35">
      <c r="A1049" s="12"/>
      <c r="B1049" s="12"/>
      <c r="C1049" s="12" t="str">
        <f ca="1">IFERROR(__xludf.DUMMYFUNCTION("""COMPUTED_VALUE"""),"What's So Dangerous About the Emerging Church?")</f>
        <v>What's So Dangerous About the Emerging Church?</v>
      </c>
      <c r="D1049" s="12"/>
      <c r="E1049" s="12" t="str">
        <f ca="1">IFERROR(__xludf.DUMMYFUNCTION("""COMPUTED_VALUE"""),"CD")</f>
        <v>CD</v>
      </c>
      <c r="F1049" s="12"/>
      <c r="G1049" s="12"/>
      <c r="H1049" s="12"/>
      <c r="I1049" s="12"/>
      <c r="J1049" s="12"/>
      <c r="K1049" s="13"/>
      <c r="L1049" s="12"/>
      <c r="M1049" s="12" t="str">
        <f ca="1">IFERROR(__xludf.DUMMYFUNCTION("""COMPUTED_VALUE"""),"MacArthur, John")</f>
        <v>MacArthur, John</v>
      </c>
      <c r="N1049" s="12" t="str">
        <f ca="1">IFERROR(__xludf.DUMMYFUNCTION("""COMPUTED_VALUE"""),"Table3")</f>
        <v>Table3</v>
      </c>
    </row>
    <row r="1050" spans="1:14" ht="15.75" customHeight="1" x14ac:dyDescent="0.35">
      <c r="A1050" s="12"/>
      <c r="B1050" s="12"/>
      <c r="C1050" s="12" t="str">
        <f ca="1">IFERROR(__xludf.DUMMYFUNCTION("""COMPUTED_VALUE"""),"Who Is Jesus--And Why Should I Care?")</f>
        <v>Who Is Jesus--And Why Should I Care?</v>
      </c>
      <c r="D1050" s="12"/>
      <c r="E1050" s="12" t="str">
        <f ca="1">IFERROR(__xludf.DUMMYFUNCTION("""COMPUTED_VALUE"""),"CD")</f>
        <v>CD</v>
      </c>
      <c r="F1050" s="12"/>
      <c r="G1050" s="12"/>
      <c r="H1050" s="12"/>
      <c r="I1050" s="12"/>
      <c r="J1050" s="12"/>
      <c r="K1050" s="13"/>
      <c r="L1050" s="12"/>
      <c r="M1050" s="12" t="str">
        <f ca="1">IFERROR(__xludf.DUMMYFUNCTION("""COMPUTED_VALUE"""),"MacArthur, John")</f>
        <v>MacArthur, John</v>
      </c>
      <c r="N1050" s="12" t="str">
        <f ca="1">IFERROR(__xludf.DUMMYFUNCTION("""COMPUTED_VALUE"""),"Table3")</f>
        <v>Table3</v>
      </c>
    </row>
    <row r="1051" spans="1:14" ht="15.75" customHeight="1" x14ac:dyDescent="0.35">
      <c r="A1051" s="12"/>
      <c r="B1051" s="12"/>
      <c r="C1051" s="12" t="str">
        <f ca="1">IFERROR(__xludf.DUMMYFUNCTION("""COMPUTED_VALUE"""),"Why Do Christians Doubt Their Salvation")</f>
        <v>Why Do Christians Doubt Their Salvation</v>
      </c>
      <c r="D1051" s="12"/>
      <c r="E1051" s="12" t="str">
        <f ca="1">IFERROR(__xludf.DUMMYFUNCTION("""COMPUTED_VALUE"""),"CD")</f>
        <v>CD</v>
      </c>
      <c r="F1051" s="12"/>
      <c r="G1051" s="12"/>
      <c r="H1051" s="12"/>
      <c r="I1051" s="12"/>
      <c r="J1051" s="12"/>
      <c r="K1051" s="13"/>
      <c r="L1051" s="12"/>
      <c r="M1051" s="12" t="str">
        <f ca="1">IFERROR(__xludf.DUMMYFUNCTION("""COMPUTED_VALUE"""),"MacArthur, John")</f>
        <v>MacArthur, John</v>
      </c>
      <c r="N1051" s="12" t="str">
        <f ca="1">IFERROR(__xludf.DUMMYFUNCTION("""COMPUTED_VALUE"""),"Table3")</f>
        <v>Table3</v>
      </c>
    </row>
    <row r="1052" spans="1:14" ht="15.75" customHeight="1" x14ac:dyDescent="0.35">
      <c r="A1052" s="12"/>
      <c r="B1052" s="12"/>
      <c r="C1052" s="12" t="str">
        <f ca="1">IFERROR(__xludf.DUMMYFUNCTION("""COMPUTED_VALUE"""),"Why I Love the Church")</f>
        <v>Why I Love the Church</v>
      </c>
      <c r="D1052" s="12"/>
      <c r="E1052" s="12" t="str">
        <f ca="1">IFERROR(__xludf.DUMMYFUNCTION("""COMPUTED_VALUE"""),"CD")</f>
        <v>CD</v>
      </c>
      <c r="F1052" s="12"/>
      <c r="G1052" s="12"/>
      <c r="H1052" s="12"/>
      <c r="I1052" s="12"/>
      <c r="J1052" s="12"/>
      <c r="K1052" s="13"/>
      <c r="L1052" s="12"/>
      <c r="M1052" s="12" t="str">
        <f ca="1">IFERROR(__xludf.DUMMYFUNCTION("""COMPUTED_VALUE"""),"MacArthur, John")</f>
        <v>MacArthur, John</v>
      </c>
      <c r="N1052" s="12" t="str">
        <f ca="1">IFERROR(__xludf.DUMMYFUNCTION("""COMPUTED_VALUE"""),"Table3")</f>
        <v>Table3</v>
      </c>
    </row>
    <row r="1053" spans="1:14" ht="15.75" customHeight="1" x14ac:dyDescent="0.35">
      <c r="A1053" s="12"/>
      <c r="B1053" s="12"/>
      <c r="C1053" s="12" t="str">
        <f ca="1">IFERROR(__xludf.DUMMYFUNCTION("""COMPUTED_VALUE"""),"The Greatest Letter Ever Written")</f>
        <v>The Greatest Letter Ever Written</v>
      </c>
      <c r="D1053" s="12"/>
      <c r="E1053" s="12" t="str">
        <f ca="1">IFERROR(__xludf.DUMMYFUNCTION("""COMPUTED_VALUE"""),"MP3 DVD-ROM")</f>
        <v>MP3 DVD-ROM</v>
      </c>
      <c r="F1053" s="12"/>
      <c r="G1053" s="12"/>
      <c r="H1053" s="12"/>
      <c r="I1053" s="12"/>
      <c r="J1053" s="12"/>
      <c r="K1053" s="13">
        <f ca="1">IFERROR(__xludf.DUMMYFUNCTION("""COMPUTED_VALUE"""),40980)</f>
        <v>40980</v>
      </c>
      <c r="L1053" s="12"/>
      <c r="M1053" s="12" t="str">
        <f ca="1">IFERROR(__xludf.DUMMYFUNCTION("""COMPUTED_VALUE"""),"Piper, John")</f>
        <v>Piper, John</v>
      </c>
      <c r="N1053" s="12" t="str">
        <f ca="1">IFERROR(__xludf.DUMMYFUNCTION("""COMPUTED_VALUE"""),"Table3")</f>
        <v>Table3</v>
      </c>
    </row>
    <row r="1054" spans="1:14" ht="15.75" customHeight="1" x14ac:dyDescent="0.35">
      <c r="A1054" s="12"/>
      <c r="B1054" s="12"/>
      <c r="C1054" s="12" t="str">
        <f ca="1">IFERROR(__xludf.DUMMYFUNCTION("""COMPUTED_VALUE"""),"D. M. Lloyd-Jones on John 8:21-24")</f>
        <v>D. M. Lloyd-Jones on John 8:21-24</v>
      </c>
      <c r="D1054" s="12"/>
      <c r="E1054" s="12" t="str">
        <f ca="1">IFERROR(__xludf.DUMMYFUNCTION("""COMPUTED_VALUE"""),"CD")</f>
        <v>CD</v>
      </c>
      <c r="F1054" s="12"/>
      <c r="G1054" s="12"/>
      <c r="H1054" s="12"/>
      <c r="I1054" s="12"/>
      <c r="J1054" s="12"/>
      <c r="K1054" s="13"/>
      <c r="L1054" s="12"/>
      <c r="M1054" s="12" t="str">
        <f ca="1">IFERROR(__xludf.DUMMYFUNCTION("""COMPUTED_VALUE"""),"The Banner of Truth Trust")</f>
        <v>The Banner of Truth Trust</v>
      </c>
      <c r="N1054" s="12" t="str">
        <f ca="1">IFERROR(__xludf.DUMMYFUNCTION("""COMPUTED_VALUE"""),"Table3")</f>
        <v>Table3</v>
      </c>
    </row>
    <row r="1055" spans="1:14" ht="15.75" customHeight="1" x14ac:dyDescent="0.35">
      <c r="A1055" s="12"/>
      <c r="B1055" s="12"/>
      <c r="C1055" s="12" t="str">
        <f ca="1">IFERROR(__xludf.DUMMYFUNCTION("""COMPUTED_VALUE"""),"Two Ways to Live, Know &amp; Share the Gospel")</f>
        <v>Two Ways to Live, Know &amp; Share the Gospel</v>
      </c>
      <c r="D1055" s="12"/>
      <c r="E1055" s="12" t="str">
        <f ca="1">IFERROR(__xludf.DUMMYFUNCTION("""COMPUTED_VALUE"""),"Course")</f>
        <v>Course</v>
      </c>
      <c r="F1055" s="12"/>
      <c r="G1055" s="12"/>
      <c r="H1055" s="12"/>
      <c r="I1055" s="12"/>
      <c r="J1055" s="12"/>
      <c r="K1055" s="13">
        <f ca="1">IFERROR(__xludf.DUMMYFUNCTION("""COMPUTED_VALUE"""),40369)</f>
        <v>40369</v>
      </c>
      <c r="L1055" s="12"/>
      <c r="M1055" s="12"/>
      <c r="N1055" s="12" t="str">
        <f ca="1">IFERROR(__xludf.DUMMYFUNCTION("""COMPUTED_VALUE"""),"Table3")</f>
        <v>Table3</v>
      </c>
    </row>
    <row r="1056" spans="1:14" ht="15.75" customHeight="1" x14ac:dyDescent="0.35">
      <c r="A1056" s="12"/>
      <c r="B1056" s="12"/>
      <c r="C1056" s="12"/>
      <c r="D1056" s="12"/>
      <c r="E1056" s="12"/>
      <c r="F1056" s="12"/>
      <c r="G1056" s="12"/>
      <c r="H1056" s="12"/>
      <c r="I1056" s="12"/>
      <c r="J1056" s="12"/>
      <c r="K1056" s="13"/>
      <c r="L1056" s="12"/>
      <c r="M1056" s="12"/>
      <c r="N1056" s="12" t="str">
        <f ca="1">IFERROR(__xludf.DUMMYFUNCTION("""COMPUTED_VALUE"""),"Table4")</f>
        <v>Table4</v>
      </c>
    </row>
    <row r="1057" spans="1:14" ht="15.75" customHeight="1" x14ac:dyDescent="0.35">
      <c r="A1057" s="12"/>
      <c r="B1057" s="12"/>
      <c r="C1057" s="12"/>
      <c r="D1057" s="12"/>
      <c r="E1057" s="12"/>
      <c r="F1057" s="12"/>
      <c r="G1057" s="12"/>
      <c r="H1057" s="12"/>
      <c r="I1057" s="12"/>
      <c r="J1057" s="12"/>
      <c r="K1057" s="13"/>
      <c r="L1057" s="12"/>
      <c r="M1057" s="12"/>
      <c r="N1057" s="12" t="str">
        <f ca="1">IFERROR(__xludf.DUMMYFUNCTION("""COMPUTED_VALUE"""),"Table4")</f>
        <v>Table4</v>
      </c>
    </row>
    <row r="1058" spans="1:14" ht="15.75" customHeight="1" x14ac:dyDescent="0.35">
      <c r="A1058" s="12"/>
      <c r="B1058" s="12"/>
      <c r="C1058" s="12"/>
      <c r="D1058" s="12"/>
      <c r="E1058" s="12"/>
      <c r="F1058" s="12"/>
      <c r="G1058" s="12"/>
      <c r="H1058" s="12"/>
      <c r="I1058" s="12"/>
      <c r="J1058" s="12"/>
      <c r="K1058" s="13"/>
      <c r="L1058" s="12"/>
      <c r="M1058" s="12"/>
      <c r="N1058" s="12" t="str">
        <f ca="1">IFERROR(__xludf.DUMMYFUNCTION("""COMPUTED_VALUE"""),"Table4")</f>
        <v>Table4</v>
      </c>
    </row>
    <row r="1059" spans="1:14" ht="15.75" customHeight="1" x14ac:dyDescent="0.35">
      <c r="A1059" s="12"/>
      <c r="B1059" s="12"/>
      <c r="C1059" s="12"/>
      <c r="D1059" s="12"/>
      <c r="E1059" s="12"/>
      <c r="F1059" s="12"/>
      <c r="G1059" s="12"/>
      <c r="H1059" s="12"/>
      <c r="I1059" s="12"/>
      <c r="J1059" s="12"/>
      <c r="K1059" s="13"/>
      <c r="L1059" s="12"/>
      <c r="M1059" s="12"/>
      <c r="N1059" s="12" t="str">
        <f ca="1">IFERROR(__xludf.DUMMYFUNCTION("""COMPUTED_VALUE"""),"Table4")</f>
        <v>Table4</v>
      </c>
    </row>
    <row r="1060" spans="1:14" ht="15.75" customHeight="1" x14ac:dyDescent="0.35">
      <c r="A1060" s="12"/>
      <c r="B1060" s="12"/>
      <c r="C1060" s="12"/>
      <c r="D1060" s="12"/>
      <c r="E1060" s="12"/>
      <c r="F1060" s="12"/>
      <c r="G1060" s="12"/>
      <c r="H1060" s="12"/>
      <c r="I1060" s="12"/>
      <c r="J1060" s="12"/>
      <c r="K1060" s="13"/>
      <c r="L1060" s="12"/>
      <c r="M1060" s="12"/>
      <c r="N1060" s="12" t="str">
        <f ca="1">IFERROR(__xludf.DUMMYFUNCTION("""COMPUTED_VALUE"""),"Table4")</f>
        <v>Table4</v>
      </c>
    </row>
    <row r="1061" spans="1:14" ht="15.75" customHeight="1" x14ac:dyDescent="0.35">
      <c r="A1061" s="12"/>
      <c r="B1061" s="12"/>
      <c r="C1061" s="12"/>
      <c r="D1061" s="12"/>
      <c r="E1061" s="12"/>
      <c r="F1061" s="12"/>
      <c r="G1061" s="12"/>
      <c r="H1061" s="12"/>
      <c r="I1061" s="12"/>
      <c r="J1061" s="12"/>
      <c r="K1061" s="13"/>
      <c r="L1061" s="12"/>
      <c r="M1061" s="12"/>
      <c r="N1061" s="12" t="str">
        <f ca="1">IFERROR(__xludf.DUMMYFUNCTION("""COMPUTED_VALUE"""),"Table4")</f>
        <v>Table4</v>
      </c>
    </row>
    <row r="1062" spans="1:14" ht="15.75" customHeight="1" x14ac:dyDescent="0.35">
      <c r="A1062" s="12"/>
      <c r="B1062" s="12"/>
      <c r="C1062" s="12"/>
      <c r="D1062" s="12"/>
      <c r="E1062" s="12"/>
      <c r="F1062" s="12"/>
      <c r="G1062" s="12"/>
      <c r="H1062" s="12"/>
      <c r="I1062" s="12"/>
      <c r="J1062" s="12"/>
      <c r="K1062" s="13"/>
      <c r="L1062" s="12"/>
      <c r="M1062" s="12"/>
      <c r="N1062" s="12" t="str">
        <f ca="1">IFERROR(__xludf.DUMMYFUNCTION("""COMPUTED_VALUE"""),"Table4")</f>
        <v>Table4</v>
      </c>
    </row>
    <row r="1063" spans="1:14" ht="15.75" customHeight="1" x14ac:dyDescent="0.35">
      <c r="A1063" s="12"/>
      <c r="B1063" s="12"/>
      <c r="C1063" s="12"/>
      <c r="D1063" s="12"/>
      <c r="E1063" s="12"/>
      <c r="F1063" s="12"/>
      <c r="G1063" s="12"/>
      <c r="H1063" s="12"/>
      <c r="I1063" s="12"/>
      <c r="J1063" s="12"/>
      <c r="K1063" s="13"/>
      <c r="L1063" s="12"/>
      <c r="M1063" s="12"/>
      <c r="N1063" s="12" t="str">
        <f ca="1">IFERROR(__xludf.DUMMYFUNCTION("""COMPUTED_VALUE"""),"Table4")</f>
        <v>Table4</v>
      </c>
    </row>
    <row r="1064" spans="1:14" ht="15.75" customHeight="1" x14ac:dyDescent="0.35">
      <c r="A1064" s="12"/>
      <c r="B1064" s="12"/>
      <c r="C1064" s="12"/>
      <c r="D1064" s="12"/>
      <c r="E1064" s="12"/>
      <c r="F1064" s="12"/>
      <c r="G1064" s="12"/>
      <c r="H1064" s="12"/>
      <c r="I1064" s="12"/>
      <c r="J1064" s="12"/>
      <c r="K1064" s="13"/>
      <c r="L1064" s="12"/>
      <c r="M1064" s="12"/>
      <c r="N1064" s="12" t="str">
        <f ca="1">IFERROR(__xludf.DUMMYFUNCTION("""COMPUTED_VALUE"""),"Table4")</f>
        <v>Table4</v>
      </c>
    </row>
    <row r="1065" spans="1:14" ht="15.75" customHeight="1" x14ac:dyDescent="0.35">
      <c r="A1065" s="12"/>
      <c r="B1065" s="12"/>
      <c r="C1065" s="12"/>
      <c r="D1065" s="12"/>
      <c r="E1065" s="12"/>
      <c r="F1065" s="12"/>
      <c r="G1065" s="12"/>
      <c r="H1065" s="12"/>
      <c r="I1065" s="12"/>
      <c r="J1065" s="12"/>
      <c r="K1065" s="13"/>
      <c r="L1065" s="12"/>
      <c r="M1065" s="12"/>
      <c r="N1065" s="12" t="str">
        <f ca="1">IFERROR(__xludf.DUMMYFUNCTION("""COMPUTED_VALUE"""),"Table4")</f>
        <v>Table4</v>
      </c>
    </row>
    <row r="1066" spans="1:14" ht="15.75" customHeight="1" x14ac:dyDescent="0.35">
      <c r="A1066" s="12"/>
      <c r="B1066" s="12"/>
      <c r="C1066" s="12"/>
      <c r="D1066" s="12"/>
      <c r="E1066" s="12"/>
      <c r="F1066" s="12"/>
      <c r="G1066" s="12"/>
      <c r="H1066" s="12"/>
      <c r="I1066" s="12"/>
      <c r="J1066" s="12"/>
      <c r="K1066" s="13"/>
      <c r="L1066" s="12"/>
      <c r="M1066" s="12"/>
      <c r="N1066" s="12" t="str">
        <f ca="1">IFERROR(__xludf.DUMMYFUNCTION("""COMPUTED_VALUE"""),"Table4")</f>
        <v>Table4</v>
      </c>
    </row>
    <row r="1067" spans="1:14" ht="15.75" customHeight="1" x14ac:dyDescent="0.35">
      <c r="A1067" s="12"/>
      <c r="B1067" s="12"/>
      <c r="C1067" s="12"/>
      <c r="D1067" s="12"/>
      <c r="E1067" s="12"/>
      <c r="F1067" s="12"/>
      <c r="G1067" s="12"/>
      <c r="H1067" s="12"/>
      <c r="I1067" s="12"/>
      <c r="J1067" s="12"/>
      <c r="K1067" s="13"/>
      <c r="L1067" s="12"/>
      <c r="M1067" s="12"/>
      <c r="N1067" s="12" t="str">
        <f ca="1">IFERROR(__xludf.DUMMYFUNCTION("""COMPUTED_VALUE"""),"Table4")</f>
        <v>Table4</v>
      </c>
    </row>
    <row r="1068" spans="1:14" ht="15.75" customHeight="1" x14ac:dyDescent="0.35">
      <c r="A1068" s="12"/>
      <c r="B1068" s="12"/>
      <c r="C1068" s="12"/>
      <c r="D1068" s="12"/>
      <c r="E1068" s="12"/>
      <c r="F1068" s="12"/>
      <c r="G1068" s="12"/>
      <c r="H1068" s="12"/>
      <c r="I1068" s="12"/>
      <c r="J1068" s="12"/>
      <c r="K1068" s="13"/>
      <c r="L1068" s="12"/>
      <c r="M1068" s="12"/>
      <c r="N1068" s="12" t="str">
        <f ca="1">IFERROR(__xludf.DUMMYFUNCTION("""COMPUTED_VALUE"""),"Table4")</f>
        <v>Table4</v>
      </c>
    </row>
    <row r="1069" spans="1:14" ht="15.75" customHeight="1" x14ac:dyDescent="0.35">
      <c r="A1069" s="12"/>
      <c r="B1069" s="12"/>
      <c r="C1069" s="12"/>
      <c r="D1069" s="12"/>
      <c r="E1069" s="12"/>
      <c r="F1069" s="12"/>
      <c r="G1069" s="12"/>
      <c r="H1069" s="12"/>
      <c r="I1069" s="12"/>
      <c r="J1069" s="12"/>
      <c r="K1069" s="13"/>
      <c r="L1069" s="12"/>
      <c r="M1069" s="12"/>
      <c r="N1069" s="12" t="str">
        <f ca="1">IFERROR(__xludf.DUMMYFUNCTION("""COMPUTED_VALUE"""),"Table4")</f>
        <v>Table4</v>
      </c>
    </row>
    <row r="1070" spans="1:14" ht="15.75" customHeight="1" x14ac:dyDescent="0.35">
      <c r="A1070" s="12"/>
      <c r="B1070" s="12"/>
      <c r="C1070" s="12"/>
      <c r="D1070" s="12"/>
      <c r="E1070" s="12"/>
      <c r="F1070" s="12"/>
      <c r="G1070" s="12"/>
      <c r="H1070" s="12"/>
      <c r="I1070" s="12"/>
      <c r="J1070" s="12"/>
      <c r="K1070" s="13"/>
      <c r="L1070" s="12"/>
      <c r="M1070" s="12"/>
      <c r="N1070" s="12" t="str">
        <f ca="1">IFERROR(__xludf.DUMMYFUNCTION("""COMPUTED_VALUE"""),"Table4")</f>
        <v>Table4</v>
      </c>
    </row>
    <row r="1071" spans="1:14" ht="15.75" customHeight="1" x14ac:dyDescent="0.35">
      <c r="A1071" s="12"/>
      <c r="B1071" s="12"/>
      <c r="C1071" s="12"/>
      <c r="D1071" s="12"/>
      <c r="E1071" s="12"/>
      <c r="F1071" s="12"/>
      <c r="G1071" s="12"/>
      <c r="H1071" s="12"/>
      <c r="I1071" s="12"/>
      <c r="J1071" s="12"/>
      <c r="K1071" s="13"/>
      <c r="L1071" s="12"/>
      <c r="M1071" s="12"/>
      <c r="N1071" s="12" t="str">
        <f ca="1">IFERROR(__xludf.DUMMYFUNCTION("""COMPUTED_VALUE"""),"Table4")</f>
        <v>Table4</v>
      </c>
    </row>
    <row r="1072" spans="1:14" ht="15.75" customHeight="1" x14ac:dyDescent="0.35">
      <c r="A1072" s="12"/>
      <c r="B1072" s="12"/>
      <c r="C1072" s="12"/>
      <c r="D1072" s="12"/>
      <c r="E1072" s="12"/>
      <c r="F1072" s="12"/>
      <c r="G1072" s="12"/>
      <c r="H1072" s="12"/>
      <c r="I1072" s="12"/>
      <c r="J1072" s="12"/>
      <c r="K1072" s="13"/>
      <c r="L1072" s="12"/>
      <c r="M1072" s="12"/>
      <c r="N1072" s="12" t="str">
        <f ca="1">IFERROR(__xludf.DUMMYFUNCTION("""COMPUTED_VALUE"""),"Table4")</f>
        <v>Table4</v>
      </c>
    </row>
    <row r="1073" spans="1:14" ht="15.75" customHeight="1" x14ac:dyDescent="0.35">
      <c r="A1073" s="12"/>
      <c r="B1073" s="12"/>
      <c r="C1073" s="12"/>
      <c r="D1073" s="12"/>
      <c r="E1073" s="12"/>
      <c r="F1073" s="12"/>
      <c r="G1073" s="12"/>
      <c r="H1073" s="12"/>
      <c r="I1073" s="12"/>
      <c r="J1073" s="12"/>
      <c r="K1073" s="13"/>
      <c r="L1073" s="12"/>
      <c r="M1073" s="12"/>
      <c r="N1073" s="12" t="str">
        <f ca="1">IFERROR(__xludf.DUMMYFUNCTION("""COMPUTED_VALUE"""),"Table4")</f>
        <v>Table4</v>
      </c>
    </row>
    <row r="1074" spans="1:14" ht="15.75" customHeight="1" x14ac:dyDescent="0.35">
      <c r="A1074" s="12"/>
      <c r="B1074" s="12"/>
      <c r="C1074" s="12"/>
      <c r="D1074" s="12"/>
      <c r="E1074" s="12"/>
      <c r="F1074" s="12"/>
      <c r="G1074" s="12"/>
      <c r="H1074" s="12"/>
      <c r="I1074" s="12"/>
      <c r="J1074" s="12"/>
      <c r="K1074" s="13"/>
      <c r="L1074" s="12"/>
      <c r="M1074" s="12"/>
      <c r="N1074" s="12" t="str">
        <f ca="1">IFERROR(__xludf.DUMMYFUNCTION("""COMPUTED_VALUE"""),"Table4")</f>
        <v>Table4</v>
      </c>
    </row>
    <row r="1075" spans="1:14" ht="15.75" customHeight="1" x14ac:dyDescent="0.35">
      <c r="A1075" s="12"/>
      <c r="B1075" s="12"/>
      <c r="C1075" s="12"/>
      <c r="D1075" s="12"/>
      <c r="E1075" s="12"/>
      <c r="F1075" s="12"/>
      <c r="G1075" s="12"/>
      <c r="H1075" s="12"/>
      <c r="I1075" s="12"/>
      <c r="J1075" s="12"/>
      <c r="K1075" s="13"/>
      <c r="L1075" s="12"/>
      <c r="M1075" s="12"/>
      <c r="N1075" s="12" t="str">
        <f ca="1">IFERROR(__xludf.DUMMYFUNCTION("""COMPUTED_VALUE"""),"Table4")</f>
        <v>Table4</v>
      </c>
    </row>
    <row r="1076" spans="1:14" ht="15.75" customHeight="1" x14ac:dyDescent="0.35">
      <c r="A1076" s="12"/>
      <c r="B1076" s="12"/>
      <c r="C1076" s="12"/>
      <c r="D1076" s="12"/>
      <c r="E1076" s="12"/>
      <c r="F1076" s="12"/>
      <c r="G1076" s="12"/>
      <c r="H1076" s="12"/>
      <c r="I1076" s="12"/>
      <c r="J1076" s="12"/>
      <c r="K1076" s="13"/>
      <c r="L1076" s="12"/>
      <c r="M1076" s="12"/>
      <c r="N1076" s="12" t="str">
        <f ca="1">IFERROR(__xludf.DUMMYFUNCTION("""COMPUTED_VALUE"""),"Table4")</f>
        <v>Table4</v>
      </c>
    </row>
    <row r="1077" spans="1:14" ht="15.75" customHeight="1" x14ac:dyDescent="0.35">
      <c r="A1077" s="12"/>
      <c r="B1077" s="12"/>
      <c r="C1077" s="12"/>
      <c r="D1077" s="12"/>
      <c r="E1077" s="12"/>
      <c r="F1077" s="12"/>
      <c r="G1077" s="12"/>
      <c r="H1077" s="12"/>
      <c r="I1077" s="12"/>
      <c r="J1077" s="12"/>
      <c r="K1077" s="13"/>
      <c r="L1077" s="12"/>
      <c r="M1077" s="12"/>
      <c r="N1077" s="12" t="str">
        <f ca="1">IFERROR(__xludf.DUMMYFUNCTION("""COMPUTED_VALUE"""),"Table4")</f>
        <v>Table4</v>
      </c>
    </row>
    <row r="1078" spans="1:14" ht="15.75" customHeight="1" x14ac:dyDescent="0.35">
      <c r="A1078" s="12"/>
      <c r="B1078" s="12"/>
      <c r="C1078" s="12"/>
      <c r="D1078" s="12"/>
      <c r="E1078" s="12"/>
      <c r="F1078" s="12"/>
      <c r="G1078" s="12"/>
      <c r="H1078" s="12"/>
      <c r="I1078" s="12"/>
      <c r="J1078" s="12"/>
      <c r="K1078" s="13"/>
      <c r="L1078" s="12"/>
      <c r="M1078" s="12"/>
      <c r="N1078" s="12" t="str">
        <f ca="1">IFERROR(__xludf.DUMMYFUNCTION("""COMPUTED_VALUE"""),"Table4")</f>
        <v>Table4</v>
      </c>
    </row>
    <row r="1079" spans="1:14" ht="15.75" customHeight="1" x14ac:dyDescent="0.35">
      <c r="A1079" s="12"/>
      <c r="B1079" s="12"/>
      <c r="C1079" s="12"/>
      <c r="D1079" s="12"/>
      <c r="E1079" s="12"/>
      <c r="F1079" s="12"/>
      <c r="G1079" s="12"/>
      <c r="H1079" s="12"/>
      <c r="I1079" s="12"/>
      <c r="J1079" s="12"/>
      <c r="K1079" s="13"/>
      <c r="L1079" s="12"/>
      <c r="M1079" s="12"/>
      <c r="N1079" s="12" t="str">
        <f ca="1">IFERROR(__xludf.DUMMYFUNCTION("""COMPUTED_VALUE"""),"Table4")</f>
        <v>Table4</v>
      </c>
    </row>
    <row r="1080" spans="1:14" ht="15.75" customHeight="1" x14ac:dyDescent="0.35">
      <c r="A1080" s="12"/>
      <c r="B1080" s="12"/>
      <c r="C1080" s="12"/>
      <c r="D1080" s="12"/>
      <c r="E1080" s="12"/>
      <c r="F1080" s="12"/>
      <c r="G1080" s="12"/>
      <c r="H1080" s="12"/>
      <c r="I1080" s="12"/>
      <c r="J1080" s="12"/>
      <c r="K1080" s="13"/>
      <c r="L1080" s="12"/>
      <c r="M1080" s="12"/>
      <c r="N1080" s="12" t="str">
        <f ca="1">IFERROR(__xludf.DUMMYFUNCTION("""COMPUTED_VALUE"""),"Table4")</f>
        <v>Table4</v>
      </c>
    </row>
    <row r="1081" spans="1:14" ht="15.75" customHeight="1" x14ac:dyDescent="0.35">
      <c r="A1081" s="12"/>
      <c r="B1081" s="12"/>
      <c r="C1081" s="12"/>
      <c r="D1081" s="12"/>
      <c r="E1081" s="12"/>
      <c r="F1081" s="12"/>
      <c r="G1081" s="12"/>
      <c r="H1081" s="12"/>
      <c r="I1081" s="12"/>
      <c r="J1081" s="12"/>
      <c r="K1081" s="13"/>
      <c r="L1081" s="12"/>
      <c r="M1081" s="12"/>
      <c r="N1081" s="12" t="str">
        <f ca="1">IFERROR(__xludf.DUMMYFUNCTION("""COMPUTED_VALUE"""),"Table4")</f>
        <v>Table4</v>
      </c>
    </row>
    <row r="1082" spans="1:14" ht="15.75" customHeight="1" x14ac:dyDescent="0.35">
      <c r="A1082" s="12"/>
      <c r="B1082" s="12"/>
      <c r="C1082" s="12"/>
      <c r="D1082" s="12"/>
      <c r="E1082" s="12"/>
      <c r="F1082" s="12"/>
      <c r="G1082" s="12"/>
      <c r="H1082" s="12"/>
      <c r="I1082" s="12"/>
      <c r="J1082" s="12"/>
      <c r="K1082" s="13"/>
      <c r="L1082" s="12"/>
      <c r="M1082" s="12"/>
      <c r="N1082" s="12" t="str">
        <f ca="1">IFERROR(__xludf.DUMMYFUNCTION("""COMPUTED_VALUE"""),"Table4")</f>
        <v>Table4</v>
      </c>
    </row>
    <row r="1083" spans="1:14" ht="15.75" customHeight="1" x14ac:dyDescent="0.35">
      <c r="A1083" s="12"/>
      <c r="B1083" s="12"/>
      <c r="C1083" s="12"/>
      <c r="D1083" s="12"/>
      <c r="E1083" s="12"/>
      <c r="F1083" s="12"/>
      <c r="G1083" s="12"/>
      <c r="H1083" s="12"/>
      <c r="I1083" s="12"/>
      <c r="J1083" s="12"/>
      <c r="K1083" s="13"/>
      <c r="L1083" s="12"/>
      <c r="M1083" s="12"/>
      <c r="N1083" s="12" t="str">
        <f ca="1">IFERROR(__xludf.DUMMYFUNCTION("""COMPUTED_VALUE"""),"Table4")</f>
        <v>Table4</v>
      </c>
    </row>
    <row r="1084" spans="1:14" ht="15.75" customHeight="1" x14ac:dyDescent="0.35">
      <c r="A1084" s="12"/>
      <c r="B1084" s="12"/>
      <c r="C1084" s="12"/>
      <c r="D1084" s="12"/>
      <c r="E1084" s="12"/>
      <c r="F1084" s="12"/>
      <c r="G1084" s="12"/>
      <c r="H1084" s="12"/>
      <c r="I1084" s="12"/>
      <c r="J1084" s="12"/>
      <c r="K1084" s="13"/>
      <c r="L1084" s="12"/>
      <c r="M1084" s="12"/>
      <c r="N1084" s="12" t="str">
        <f ca="1">IFERROR(__xludf.DUMMYFUNCTION("""COMPUTED_VALUE"""),"Table4")</f>
        <v>Table4</v>
      </c>
    </row>
    <row r="1085" spans="1:14" ht="15.75" customHeight="1" x14ac:dyDescent="0.35">
      <c r="A1085" s="12"/>
      <c r="B1085" s="12"/>
      <c r="C1085" s="12"/>
      <c r="D1085" s="12"/>
      <c r="E1085" s="12"/>
      <c r="F1085" s="12"/>
      <c r="G1085" s="12"/>
      <c r="H1085" s="12"/>
      <c r="I1085" s="12"/>
      <c r="J1085" s="12"/>
      <c r="K1085" s="13"/>
      <c r="L1085" s="12"/>
      <c r="M1085" s="12"/>
      <c r="N1085" s="12" t="str">
        <f ca="1">IFERROR(__xludf.DUMMYFUNCTION("""COMPUTED_VALUE"""),"Table4")</f>
        <v>Table4</v>
      </c>
    </row>
    <row r="1086" spans="1:14" ht="15.75" customHeight="1" x14ac:dyDescent="0.35"/>
    <row r="1087" spans="1:14" ht="15.75" customHeight="1" x14ac:dyDescent="0.35"/>
    <row r="1088" spans="1:14" ht="15.75" customHeight="1" x14ac:dyDescent="0.35"/>
    <row r="1089" ht="15.75" customHeight="1" x14ac:dyDescent="0.35"/>
    <row r="1090" ht="15.75" customHeight="1" x14ac:dyDescent="0.35"/>
    <row r="1091" ht="15.75" customHeight="1" x14ac:dyDescent="0.35"/>
    <row r="1092" ht="15.75" customHeight="1" x14ac:dyDescent="0.35"/>
    <row r="1093" ht="15.75" customHeight="1" x14ac:dyDescent="0.35"/>
    <row r="1094" ht="15.75" customHeight="1" x14ac:dyDescent="0.35"/>
    <row r="1095" ht="15.75" customHeight="1" x14ac:dyDescent="0.35"/>
    <row r="1096" ht="15.75" customHeight="1" x14ac:dyDescent="0.35"/>
    <row r="1097" ht="15.75" customHeight="1" x14ac:dyDescent="0.35"/>
    <row r="1098" ht="15.75" customHeight="1" x14ac:dyDescent="0.35"/>
    <row r="1099" ht="15.75" customHeight="1" x14ac:dyDescent="0.35"/>
    <row r="1100" ht="15.75" customHeight="1" x14ac:dyDescent="0.35"/>
    <row r="1101" ht="15.75" customHeight="1" x14ac:dyDescent="0.35"/>
    <row r="1102" ht="15.75" customHeight="1" x14ac:dyDescent="0.35"/>
    <row r="1103" ht="15.75" customHeight="1" x14ac:dyDescent="0.35"/>
    <row r="1104" ht="15.75" customHeight="1" x14ac:dyDescent="0.35"/>
    <row r="1105" ht="15.75" customHeight="1" x14ac:dyDescent="0.35"/>
    <row r="1106" ht="15.75" customHeight="1" x14ac:dyDescent="0.35"/>
    <row r="1107" ht="15.75" customHeight="1" x14ac:dyDescent="0.35"/>
    <row r="1108" ht="15.75" customHeight="1" x14ac:dyDescent="0.35"/>
    <row r="1109" ht="15.75" customHeight="1" x14ac:dyDescent="0.35"/>
    <row r="1110" ht="15.75" customHeight="1" x14ac:dyDescent="0.35"/>
    <row r="1111" ht="15.75" customHeight="1" x14ac:dyDescent="0.35"/>
    <row r="1112" ht="15.75" customHeight="1" x14ac:dyDescent="0.35"/>
    <row r="1113" ht="15.75" customHeight="1" x14ac:dyDescent="0.35"/>
    <row r="1114" ht="15.75" customHeight="1" x14ac:dyDescent="0.35"/>
    <row r="1115" ht="15.75" customHeight="1" x14ac:dyDescent="0.35"/>
    <row r="1116" ht="15.75" customHeight="1" x14ac:dyDescent="0.35"/>
    <row r="1117" ht="15.75" customHeight="1" x14ac:dyDescent="0.35"/>
    <row r="1118" ht="15.75" customHeight="1" x14ac:dyDescent="0.35"/>
    <row r="1119" ht="15.75" customHeight="1" x14ac:dyDescent="0.35"/>
    <row r="1120" ht="15.75" customHeight="1" x14ac:dyDescent="0.35"/>
    <row r="1121" ht="15.75" customHeight="1" x14ac:dyDescent="0.35"/>
    <row r="1122" ht="15.75" customHeight="1" x14ac:dyDescent="0.35"/>
    <row r="1123" ht="15.75" customHeight="1" x14ac:dyDescent="0.35"/>
    <row r="1124" ht="15.75" customHeight="1" x14ac:dyDescent="0.35"/>
    <row r="1125" ht="15.75" customHeight="1" x14ac:dyDescent="0.35"/>
    <row r="1126" ht="15.75" customHeight="1" x14ac:dyDescent="0.35"/>
    <row r="1127" ht="15.75" customHeight="1" x14ac:dyDescent="0.35"/>
    <row r="1128" ht="15.75" customHeight="1" x14ac:dyDescent="0.35"/>
    <row r="1129" ht="15.75" customHeight="1" x14ac:dyDescent="0.35"/>
    <row r="1130" ht="15.75" customHeight="1" x14ac:dyDescent="0.35"/>
    <row r="1131" ht="15.75" customHeight="1" x14ac:dyDescent="0.35"/>
    <row r="1132" ht="15.75" customHeight="1" x14ac:dyDescent="0.35"/>
    <row r="1133" ht="15.75" customHeight="1" x14ac:dyDescent="0.35"/>
    <row r="1134" ht="15.75" customHeight="1" x14ac:dyDescent="0.35"/>
    <row r="1135" ht="15.75" customHeight="1" x14ac:dyDescent="0.35"/>
    <row r="1136" ht="15.75" customHeight="1" x14ac:dyDescent="0.35"/>
    <row r="1137" ht="15.75" customHeight="1" x14ac:dyDescent="0.35"/>
    <row r="1138" ht="15.75" customHeight="1" x14ac:dyDescent="0.35"/>
    <row r="1139" ht="15.75" customHeight="1" x14ac:dyDescent="0.35"/>
    <row r="1140" ht="15.75" customHeight="1" x14ac:dyDescent="0.35"/>
    <row r="1141" ht="15.75" customHeight="1" x14ac:dyDescent="0.35"/>
    <row r="1142" ht="15.75" customHeight="1" x14ac:dyDescent="0.35"/>
    <row r="1143" ht="15.75" customHeight="1" x14ac:dyDescent="0.35"/>
    <row r="1144" ht="15.75" customHeight="1" x14ac:dyDescent="0.35"/>
    <row r="1145" ht="15.75" customHeight="1" x14ac:dyDescent="0.35"/>
    <row r="1146" ht="15.75" customHeight="1" x14ac:dyDescent="0.35"/>
    <row r="1147" ht="15.75" customHeight="1" x14ac:dyDescent="0.35"/>
    <row r="1148" ht="15.75" customHeight="1" x14ac:dyDescent="0.35"/>
    <row r="1149" ht="15.75" customHeight="1" x14ac:dyDescent="0.35"/>
    <row r="1150" ht="15.75" customHeight="1" x14ac:dyDescent="0.35"/>
    <row r="1151" ht="15.75" customHeight="1" x14ac:dyDescent="0.35"/>
    <row r="1152" ht="15.75" customHeight="1" x14ac:dyDescent="0.35"/>
    <row r="1153" ht="15.75" customHeight="1" x14ac:dyDescent="0.35"/>
    <row r="1154" ht="15.75" customHeight="1" x14ac:dyDescent="0.35"/>
    <row r="1155" ht="15.75" customHeight="1" x14ac:dyDescent="0.35"/>
    <row r="1156" ht="15.75" customHeight="1" x14ac:dyDescent="0.35"/>
    <row r="1157" ht="15.75" customHeight="1" x14ac:dyDescent="0.35"/>
    <row r="1158" ht="15.75" customHeight="1" x14ac:dyDescent="0.35"/>
    <row r="1159" ht="15.75" customHeight="1" x14ac:dyDescent="0.35"/>
    <row r="1160" ht="15.75" customHeight="1" x14ac:dyDescent="0.35"/>
    <row r="1161" ht="15.75" customHeight="1" x14ac:dyDescent="0.35"/>
    <row r="1162" ht="15.75" customHeight="1" x14ac:dyDescent="0.35"/>
    <row r="1163" ht="15.75" customHeight="1" x14ac:dyDescent="0.35"/>
    <row r="1164" ht="15.75" customHeight="1" x14ac:dyDescent="0.35"/>
    <row r="1165" ht="15.75" customHeight="1" x14ac:dyDescent="0.35"/>
    <row r="1166" ht="15.75" customHeight="1" x14ac:dyDescent="0.35"/>
    <row r="1167" ht="15.75" customHeight="1" x14ac:dyDescent="0.35"/>
    <row r="1168" ht="15.75" customHeight="1" x14ac:dyDescent="0.35"/>
    <row r="1169" ht="15.75" customHeight="1" x14ac:dyDescent="0.35"/>
    <row r="1170" ht="15.75" customHeight="1" x14ac:dyDescent="0.35"/>
    <row r="1171" ht="15.75" customHeight="1" x14ac:dyDescent="0.35"/>
    <row r="1172" ht="15.75" customHeight="1" x14ac:dyDescent="0.35"/>
    <row r="1173" ht="15.75" customHeight="1" x14ac:dyDescent="0.35"/>
    <row r="1174" ht="15.75" customHeight="1" x14ac:dyDescent="0.35"/>
    <row r="1175" ht="15.75" customHeight="1" x14ac:dyDescent="0.35"/>
    <row r="1176" ht="15.75" customHeight="1" x14ac:dyDescent="0.35"/>
    <row r="1177" ht="15.75" customHeight="1" x14ac:dyDescent="0.35"/>
    <row r="1178" ht="15.75" customHeight="1" x14ac:dyDescent="0.35"/>
    <row r="1179" ht="15.75" customHeight="1" x14ac:dyDescent="0.35"/>
    <row r="1180" ht="15.75" customHeight="1" x14ac:dyDescent="0.35"/>
    <row r="1181" ht="15.75" customHeight="1" x14ac:dyDescent="0.35"/>
    <row r="1182" ht="15.75" customHeight="1" x14ac:dyDescent="0.35"/>
    <row r="1183" ht="15.75" customHeight="1" x14ac:dyDescent="0.35"/>
    <row r="1184" ht="15.75" customHeight="1" x14ac:dyDescent="0.35"/>
    <row r="1185" ht="15.75" customHeight="1" x14ac:dyDescent="0.35"/>
    <row r="1186" ht="15.75" customHeight="1" x14ac:dyDescent="0.35"/>
    <row r="1187" ht="15.75" customHeight="1" x14ac:dyDescent="0.35"/>
    <row r="1188" ht="15.75" customHeight="1" x14ac:dyDescent="0.35"/>
    <row r="1189" ht="15.75" customHeight="1" x14ac:dyDescent="0.35"/>
    <row r="1190" ht="15.75" customHeight="1" x14ac:dyDescent="0.35"/>
    <row r="1191" ht="15.75" customHeight="1" x14ac:dyDescent="0.35"/>
    <row r="1192" ht="15.75" customHeight="1" x14ac:dyDescent="0.35"/>
    <row r="1193" ht="15.75" customHeight="1" x14ac:dyDescent="0.35"/>
    <row r="1194" ht="15.75" customHeight="1" x14ac:dyDescent="0.35"/>
    <row r="1195" ht="15.75" customHeight="1" x14ac:dyDescent="0.35"/>
    <row r="1196" ht="15.75" customHeight="1" x14ac:dyDescent="0.35"/>
    <row r="1197" ht="15.75" customHeight="1" x14ac:dyDescent="0.35"/>
    <row r="1198" ht="15.75" customHeight="1" x14ac:dyDescent="0.35"/>
    <row r="1199" ht="15.75" customHeight="1" x14ac:dyDescent="0.35"/>
    <row r="1200" ht="15.75" customHeight="1" x14ac:dyDescent="0.35"/>
    <row r="1201" ht="15.75" customHeight="1" x14ac:dyDescent="0.35"/>
    <row r="1202" ht="15.75" customHeight="1" x14ac:dyDescent="0.35"/>
    <row r="1203" ht="15.75" customHeight="1" x14ac:dyDescent="0.35"/>
    <row r="1204" ht="15.75" customHeight="1" x14ac:dyDescent="0.35"/>
    <row r="1205" ht="15.75" customHeight="1" x14ac:dyDescent="0.35"/>
    <row r="1206" ht="15.75" customHeight="1" x14ac:dyDescent="0.35"/>
    <row r="1207" ht="15.75" customHeight="1" x14ac:dyDescent="0.35"/>
    <row r="1208" ht="15.75" customHeight="1" x14ac:dyDescent="0.35"/>
    <row r="1209" ht="15.75" customHeight="1" x14ac:dyDescent="0.35"/>
    <row r="1210" ht="15.75" customHeight="1" x14ac:dyDescent="0.35"/>
    <row r="1211" ht="15.75" customHeight="1" x14ac:dyDescent="0.35"/>
    <row r="1212" ht="15.75" customHeight="1" x14ac:dyDescent="0.35"/>
    <row r="1213" ht="15.75" customHeight="1" x14ac:dyDescent="0.35"/>
    <row r="1214" ht="15.75" customHeight="1" x14ac:dyDescent="0.35"/>
    <row r="1215" ht="15.75" customHeight="1" x14ac:dyDescent="0.35"/>
    <row r="1216" ht="15.75" customHeight="1" x14ac:dyDescent="0.35"/>
    <row r="1217" ht="15.75" customHeight="1" x14ac:dyDescent="0.35"/>
    <row r="1218" ht="15.75" customHeight="1" x14ac:dyDescent="0.35"/>
    <row r="1219" ht="15.75" customHeight="1" x14ac:dyDescent="0.35"/>
    <row r="1220" ht="15.75" customHeight="1" x14ac:dyDescent="0.35"/>
    <row r="1221" ht="15.75" customHeight="1" x14ac:dyDescent="0.35"/>
    <row r="1222" ht="15.75" customHeight="1" x14ac:dyDescent="0.35"/>
    <row r="1223" ht="15.75" customHeight="1" x14ac:dyDescent="0.35"/>
    <row r="1224" ht="15.75" customHeight="1" x14ac:dyDescent="0.35"/>
    <row r="1225" ht="15.75" customHeight="1" x14ac:dyDescent="0.35"/>
    <row r="1226" ht="15.75" customHeight="1" x14ac:dyDescent="0.35"/>
    <row r="1227" ht="15.75" customHeight="1" x14ac:dyDescent="0.35"/>
    <row r="1228" ht="15.75" customHeight="1" x14ac:dyDescent="0.35"/>
    <row r="1229" ht="15.75" customHeight="1" x14ac:dyDescent="0.35"/>
    <row r="1230" ht="15.75" customHeight="1" x14ac:dyDescent="0.35"/>
    <row r="1231" ht="15.75" customHeight="1" x14ac:dyDescent="0.35"/>
    <row r="1232" ht="15.75" customHeight="1" x14ac:dyDescent="0.35"/>
    <row r="1233" ht="15.75" customHeight="1" x14ac:dyDescent="0.35"/>
    <row r="1234" ht="15.75" customHeight="1" x14ac:dyDescent="0.35"/>
    <row r="1235" ht="15.75" customHeight="1" x14ac:dyDescent="0.35"/>
    <row r="1236" ht="15.75" customHeight="1" x14ac:dyDescent="0.35"/>
    <row r="1237" ht="15.75" customHeight="1" x14ac:dyDescent="0.35"/>
    <row r="1238" ht="15.75" customHeight="1" x14ac:dyDescent="0.35"/>
    <row r="1239" ht="15.75" customHeight="1" x14ac:dyDescent="0.35"/>
    <row r="1240" ht="15.75" customHeight="1" x14ac:dyDescent="0.35"/>
    <row r="1241" ht="15.75" customHeight="1" x14ac:dyDescent="0.35"/>
    <row r="1242" ht="15.75" customHeight="1" x14ac:dyDescent="0.35"/>
    <row r="1243" ht="15.75" customHeight="1" x14ac:dyDescent="0.35"/>
    <row r="1244" ht="15.75" customHeight="1" x14ac:dyDescent="0.35"/>
    <row r="1245" ht="15.75" customHeight="1" x14ac:dyDescent="0.35"/>
    <row r="1246" ht="15.75" customHeight="1" x14ac:dyDescent="0.35"/>
    <row r="1247" ht="15.75" customHeight="1" x14ac:dyDescent="0.35"/>
    <row r="1248" ht="15.75" customHeight="1" x14ac:dyDescent="0.35"/>
    <row r="1249" ht="15.75" customHeight="1" x14ac:dyDescent="0.35"/>
    <row r="1250" ht="15.75" customHeight="1" x14ac:dyDescent="0.35"/>
    <row r="1251" ht="15.75" customHeight="1" x14ac:dyDescent="0.35"/>
    <row r="1252" ht="15.75" customHeight="1" x14ac:dyDescent="0.35"/>
    <row r="1253" ht="15.75" customHeight="1" x14ac:dyDescent="0.35"/>
    <row r="1254" ht="15.75" customHeight="1" x14ac:dyDescent="0.35"/>
    <row r="1255" ht="15.75" customHeight="1" x14ac:dyDescent="0.35"/>
    <row r="1256" ht="15.75" customHeight="1" x14ac:dyDescent="0.35"/>
    <row r="1257" ht="15.75" customHeight="1" x14ac:dyDescent="0.35"/>
    <row r="1258" ht="15.75" customHeight="1" x14ac:dyDescent="0.35"/>
    <row r="1259" ht="15.75" customHeight="1" x14ac:dyDescent="0.35"/>
    <row r="1260" ht="15.75" customHeight="1" x14ac:dyDescent="0.35"/>
    <row r="1261" ht="15.75" customHeight="1" x14ac:dyDescent="0.35"/>
    <row r="1262" ht="15.75" customHeight="1" x14ac:dyDescent="0.35"/>
    <row r="1263" ht="15.75" customHeight="1" x14ac:dyDescent="0.35"/>
    <row r="1264" ht="15.75" customHeight="1" x14ac:dyDescent="0.35"/>
    <row r="1265" ht="15.75" customHeight="1" x14ac:dyDescent="0.35"/>
    <row r="1266" ht="15.75" customHeight="1" x14ac:dyDescent="0.35"/>
    <row r="1267" ht="15.75" customHeight="1" x14ac:dyDescent="0.35"/>
    <row r="1268" ht="15.75" customHeight="1" x14ac:dyDescent="0.35"/>
    <row r="1269" ht="15.75" customHeight="1" x14ac:dyDescent="0.35"/>
    <row r="1270" ht="15.75" customHeight="1" x14ac:dyDescent="0.35"/>
    <row r="1271" ht="15.75" customHeight="1" x14ac:dyDescent="0.35"/>
    <row r="1272" ht="15.75" customHeight="1" x14ac:dyDescent="0.35"/>
    <row r="1273" ht="15.75" customHeight="1" x14ac:dyDescent="0.35"/>
    <row r="1274" ht="15.75" customHeight="1" x14ac:dyDescent="0.35"/>
    <row r="1275" ht="15.75" customHeight="1" x14ac:dyDescent="0.35"/>
    <row r="1276" ht="15.75" customHeight="1" x14ac:dyDescent="0.35"/>
    <row r="1277" ht="15.75" customHeight="1" x14ac:dyDescent="0.35"/>
    <row r="1278" ht="15.75" customHeight="1" x14ac:dyDescent="0.35"/>
    <row r="1279" ht="15.75" customHeight="1" x14ac:dyDescent="0.35"/>
    <row r="1280" ht="15.75" customHeight="1" x14ac:dyDescent="0.35"/>
    <row r="1281" ht="15.75" customHeight="1" x14ac:dyDescent="0.35"/>
    <row r="1282" ht="15.75" customHeight="1" x14ac:dyDescent="0.35"/>
    <row r="1283" ht="15.75" customHeight="1" x14ac:dyDescent="0.35"/>
    <row r="1284" ht="15.75" customHeight="1" x14ac:dyDescent="0.35"/>
    <row r="1285" ht="15.75" customHeight="1" x14ac:dyDescent="0.35"/>
    <row r="1286" ht="15.75" customHeight="1" x14ac:dyDescent="0.35"/>
    <row r="1287" ht="15.75" customHeight="1" x14ac:dyDescent="0.35"/>
    <row r="1288" ht="15.75" customHeight="1" x14ac:dyDescent="0.35"/>
    <row r="1289" ht="15.75" customHeight="1" x14ac:dyDescent="0.35"/>
    <row r="1290" ht="15.75" customHeight="1" x14ac:dyDescent="0.35"/>
    <row r="1291" ht="15.75" customHeight="1" x14ac:dyDescent="0.35"/>
    <row r="1292" ht="15.75" customHeight="1" x14ac:dyDescent="0.35"/>
    <row r="1293" ht="15.75" customHeight="1" x14ac:dyDescent="0.35"/>
    <row r="1294" ht="15.75" customHeight="1" x14ac:dyDescent="0.35"/>
    <row r="1295" ht="15.75" customHeight="1" x14ac:dyDescent="0.35"/>
    <row r="1296" ht="15.75" customHeight="1" x14ac:dyDescent="0.35"/>
    <row r="1297" ht="15.75" customHeight="1" x14ac:dyDescent="0.35"/>
    <row r="1298" ht="15.75" customHeight="1" x14ac:dyDescent="0.35"/>
    <row r="1299" ht="15.75" customHeight="1" x14ac:dyDescent="0.35"/>
    <row r="1300" ht="15.75" customHeight="1" x14ac:dyDescent="0.35"/>
    <row r="1301" ht="15.75" customHeight="1" x14ac:dyDescent="0.35"/>
    <row r="1302" ht="15.75" customHeight="1" x14ac:dyDescent="0.35"/>
    <row r="1303" ht="15.75" customHeight="1" x14ac:dyDescent="0.35"/>
    <row r="1304" ht="15.75" customHeight="1" x14ac:dyDescent="0.35"/>
    <row r="1305" ht="15.75" customHeight="1" x14ac:dyDescent="0.35"/>
    <row r="1306" ht="15.75" customHeight="1" x14ac:dyDescent="0.35"/>
    <row r="1307" ht="15.75" customHeight="1" x14ac:dyDescent="0.35"/>
    <row r="1308" ht="15.75" customHeight="1" x14ac:dyDescent="0.35"/>
    <row r="1309" ht="15.75" customHeight="1" x14ac:dyDescent="0.35"/>
    <row r="1310" ht="15.75" customHeight="1" x14ac:dyDescent="0.35"/>
    <row r="1311" ht="15.75" customHeight="1" x14ac:dyDescent="0.35"/>
    <row r="1312" ht="15.75" customHeight="1" x14ac:dyDescent="0.35"/>
    <row r="1313" ht="15.75" customHeight="1" x14ac:dyDescent="0.35"/>
    <row r="1314" ht="15.75" customHeight="1" x14ac:dyDescent="0.35"/>
    <row r="1315" ht="15.75" customHeight="1" x14ac:dyDescent="0.35"/>
    <row r="1316" ht="15.75" customHeight="1" x14ac:dyDescent="0.35"/>
    <row r="1317" ht="15.75" customHeight="1" x14ac:dyDescent="0.35"/>
    <row r="1318" ht="15.75" customHeight="1" x14ac:dyDescent="0.35"/>
    <row r="1319" ht="15.75" customHeight="1" x14ac:dyDescent="0.35"/>
    <row r="1320" ht="15.75" customHeight="1" x14ac:dyDescent="0.35"/>
    <row r="1321" ht="15.75" customHeight="1" x14ac:dyDescent="0.35"/>
    <row r="1322" ht="15.75" customHeight="1" x14ac:dyDescent="0.35"/>
    <row r="1323" ht="15.75" customHeight="1" x14ac:dyDescent="0.35"/>
    <row r="1324" ht="15.75" customHeight="1" x14ac:dyDescent="0.35"/>
    <row r="1325" ht="15.75" customHeight="1" x14ac:dyDescent="0.35"/>
    <row r="1326" ht="15.75" customHeight="1" x14ac:dyDescent="0.35"/>
    <row r="1327" ht="15.75" customHeight="1" x14ac:dyDescent="0.35"/>
    <row r="1328" ht="15.75" customHeight="1" x14ac:dyDescent="0.35"/>
    <row r="1329" ht="15.75" customHeight="1" x14ac:dyDescent="0.35"/>
    <row r="1330" ht="15.75" customHeight="1" x14ac:dyDescent="0.35"/>
    <row r="1331" ht="15.75" customHeight="1" x14ac:dyDescent="0.35"/>
    <row r="1332" ht="15.75" customHeight="1" x14ac:dyDescent="0.35"/>
    <row r="1333" ht="15.75" customHeight="1" x14ac:dyDescent="0.35"/>
    <row r="1334" ht="15.75" customHeight="1" x14ac:dyDescent="0.35"/>
    <row r="1335" ht="15.75" customHeight="1" x14ac:dyDescent="0.35"/>
    <row r="1336" ht="15.75" customHeight="1" x14ac:dyDescent="0.35"/>
    <row r="1337" ht="15.75" customHeight="1" x14ac:dyDescent="0.35"/>
    <row r="1338" ht="15.75" customHeight="1" x14ac:dyDescent="0.35"/>
    <row r="1339" ht="15.75" customHeight="1" x14ac:dyDescent="0.35"/>
    <row r="1340" ht="15.75" customHeight="1" x14ac:dyDescent="0.35"/>
    <row r="1341" ht="15.75" customHeight="1" x14ac:dyDescent="0.35"/>
    <row r="1342" ht="15.75" customHeight="1" x14ac:dyDescent="0.35"/>
    <row r="1343" ht="15.75" customHeight="1" x14ac:dyDescent="0.35"/>
    <row r="1344" ht="15.75" customHeight="1" x14ac:dyDescent="0.35"/>
    <row r="1345" ht="15.75" customHeight="1" x14ac:dyDescent="0.35"/>
    <row r="1346" ht="15.75" customHeight="1" x14ac:dyDescent="0.35"/>
    <row r="1347" ht="15.75" customHeight="1" x14ac:dyDescent="0.35"/>
    <row r="1348" ht="15.75" customHeight="1" x14ac:dyDescent="0.35"/>
    <row r="1349" ht="15.75" customHeight="1" x14ac:dyDescent="0.35"/>
    <row r="1350" ht="15.75" customHeight="1" x14ac:dyDescent="0.35"/>
    <row r="1351" ht="15.75" customHeight="1" x14ac:dyDescent="0.35"/>
    <row r="1352" ht="15.75" customHeight="1" x14ac:dyDescent="0.35"/>
    <row r="1353" ht="15.75" customHeight="1" x14ac:dyDescent="0.35"/>
    <row r="1354" ht="15.75" customHeight="1" x14ac:dyDescent="0.35"/>
    <row r="1355" ht="15.75" customHeight="1" x14ac:dyDescent="0.35"/>
    <row r="1356" ht="15.75" customHeight="1" x14ac:dyDescent="0.35"/>
    <row r="1357" ht="15.75" customHeight="1" x14ac:dyDescent="0.35"/>
    <row r="1358" ht="15.75" customHeight="1" x14ac:dyDescent="0.35"/>
    <row r="1359" ht="15.75" customHeight="1" x14ac:dyDescent="0.35"/>
    <row r="1360" ht="15.75" customHeight="1" x14ac:dyDescent="0.35"/>
    <row r="1361" ht="15.75" customHeight="1" x14ac:dyDescent="0.35"/>
    <row r="1362" ht="15.75" customHeight="1" x14ac:dyDescent="0.35"/>
    <row r="1363" ht="15.75" customHeight="1" x14ac:dyDescent="0.35"/>
    <row r="1364" ht="15.75" customHeight="1" x14ac:dyDescent="0.35"/>
    <row r="1365" ht="15.75" customHeight="1" x14ac:dyDescent="0.35"/>
    <row r="1366" ht="15.75" customHeight="1" x14ac:dyDescent="0.35"/>
    <row r="1367" ht="15.75" customHeight="1" x14ac:dyDescent="0.35"/>
    <row r="1368" ht="15.75" customHeight="1" x14ac:dyDescent="0.35"/>
    <row r="1369" ht="15.75" customHeight="1" x14ac:dyDescent="0.35"/>
    <row r="1370" ht="15.75" customHeight="1" x14ac:dyDescent="0.35"/>
    <row r="1371" ht="15.75" customHeight="1" x14ac:dyDescent="0.35"/>
    <row r="1372" ht="15.75" customHeight="1" x14ac:dyDescent="0.35"/>
    <row r="1373" ht="15.75" customHeight="1" x14ac:dyDescent="0.35"/>
    <row r="1374" ht="15.75" customHeight="1" x14ac:dyDescent="0.35"/>
    <row r="1375" ht="15.75" customHeight="1" x14ac:dyDescent="0.35"/>
    <row r="1376" ht="15.75" customHeight="1" x14ac:dyDescent="0.35"/>
    <row r="1377" ht="15.75" customHeight="1" x14ac:dyDescent="0.35"/>
    <row r="1378" ht="15.75" customHeight="1" x14ac:dyDescent="0.35"/>
    <row r="1379" ht="15.75" customHeight="1" x14ac:dyDescent="0.35"/>
    <row r="1380" ht="15.75" customHeight="1" x14ac:dyDescent="0.35"/>
    <row r="1381" ht="15.75" customHeight="1" x14ac:dyDescent="0.35"/>
    <row r="1382" ht="15.75" customHeight="1" x14ac:dyDescent="0.35"/>
    <row r="1383" ht="15.75" customHeight="1" x14ac:dyDescent="0.35"/>
    <row r="1384" ht="15.75" customHeight="1" x14ac:dyDescent="0.35"/>
    <row r="1385" ht="15.75" customHeight="1" x14ac:dyDescent="0.35"/>
    <row r="1386" ht="15.75" customHeight="1" x14ac:dyDescent="0.35"/>
    <row r="1387" ht="15.75" customHeight="1" x14ac:dyDescent="0.35"/>
    <row r="1388" ht="15.75" customHeight="1" x14ac:dyDescent="0.35"/>
    <row r="1389" ht="15.75" customHeight="1" x14ac:dyDescent="0.35"/>
    <row r="1390" ht="15.75" customHeight="1" x14ac:dyDescent="0.35"/>
    <row r="1391" ht="15.75" customHeight="1" x14ac:dyDescent="0.35"/>
    <row r="1392" ht="15.75" customHeight="1" x14ac:dyDescent="0.35"/>
    <row r="1393" ht="15.75" customHeight="1" x14ac:dyDescent="0.35"/>
    <row r="1394" ht="15.75" customHeight="1" x14ac:dyDescent="0.35"/>
    <row r="1395" ht="15.75" customHeight="1" x14ac:dyDescent="0.35"/>
    <row r="1396" ht="15.75" customHeight="1" x14ac:dyDescent="0.35"/>
    <row r="1397" ht="15.75" customHeight="1" x14ac:dyDescent="0.35"/>
    <row r="1398" ht="15.75" customHeight="1" x14ac:dyDescent="0.35"/>
    <row r="1399" ht="15.75" customHeight="1" x14ac:dyDescent="0.35"/>
    <row r="1400" ht="15.75" customHeight="1" x14ac:dyDescent="0.35"/>
    <row r="1401" ht="15.75" customHeight="1" x14ac:dyDescent="0.35"/>
    <row r="1402" ht="15.75" customHeight="1" x14ac:dyDescent="0.35"/>
    <row r="1403" ht="15.75" customHeight="1" x14ac:dyDescent="0.35"/>
    <row r="1404" ht="15.75" customHeight="1" x14ac:dyDescent="0.35"/>
    <row r="1405" ht="15.75" customHeight="1" x14ac:dyDescent="0.35"/>
    <row r="1406" ht="15.75" customHeight="1" x14ac:dyDescent="0.35"/>
    <row r="1407" ht="15.75" customHeight="1" x14ac:dyDescent="0.35"/>
    <row r="1408" ht="15.75" customHeight="1" x14ac:dyDescent="0.35"/>
    <row r="1409" ht="15.75" customHeight="1" x14ac:dyDescent="0.35"/>
    <row r="1410" ht="15.75" customHeight="1" x14ac:dyDescent="0.35"/>
    <row r="1411" ht="15.75" customHeight="1" x14ac:dyDescent="0.35"/>
    <row r="1412" ht="15.75" customHeight="1" x14ac:dyDescent="0.35"/>
    <row r="1413" ht="15.75" customHeight="1" x14ac:dyDescent="0.35"/>
    <row r="1414" ht="15.75" customHeight="1" x14ac:dyDescent="0.35"/>
    <row r="1415" ht="15.75" customHeight="1" x14ac:dyDescent="0.35"/>
    <row r="1416" ht="15.75" customHeight="1" x14ac:dyDescent="0.35"/>
    <row r="1417" ht="15.75" customHeight="1" x14ac:dyDescent="0.35"/>
    <row r="1418" ht="15.75" customHeight="1" x14ac:dyDescent="0.35"/>
    <row r="1419" ht="15.75" customHeight="1" x14ac:dyDescent="0.35"/>
    <row r="1420" ht="15.75" customHeight="1" x14ac:dyDescent="0.35"/>
    <row r="1421" ht="15.75" customHeight="1" x14ac:dyDescent="0.35"/>
    <row r="1422" ht="15.75" customHeight="1" x14ac:dyDescent="0.35"/>
    <row r="1423" ht="15.75" customHeight="1" x14ac:dyDescent="0.35"/>
    <row r="1424" ht="15.75" customHeight="1" x14ac:dyDescent="0.35"/>
    <row r="1425" ht="15.75" customHeight="1" x14ac:dyDescent="0.35"/>
    <row r="1426" ht="15.75" customHeight="1" x14ac:dyDescent="0.35"/>
    <row r="1427" ht="15.75" customHeight="1" x14ac:dyDescent="0.35"/>
    <row r="1428" ht="15.75" customHeight="1" x14ac:dyDescent="0.35"/>
    <row r="1429" ht="15.75" customHeight="1" x14ac:dyDescent="0.35"/>
    <row r="1430" ht="15.75" customHeight="1" x14ac:dyDescent="0.35"/>
    <row r="1431" ht="15.75" customHeight="1" x14ac:dyDescent="0.35"/>
    <row r="1432" ht="15.75" customHeight="1" x14ac:dyDescent="0.35"/>
    <row r="1433" ht="15.75" customHeight="1" x14ac:dyDescent="0.35"/>
    <row r="1434" ht="15.75" customHeight="1" x14ac:dyDescent="0.35"/>
    <row r="1435" ht="15.75" customHeight="1" x14ac:dyDescent="0.35"/>
    <row r="1436" ht="15.75" customHeight="1" x14ac:dyDescent="0.35"/>
    <row r="1437" ht="15.75" customHeight="1" x14ac:dyDescent="0.35"/>
    <row r="1438" ht="15.75" customHeight="1" x14ac:dyDescent="0.35"/>
    <row r="1439" ht="15.75" customHeight="1" x14ac:dyDescent="0.35"/>
    <row r="1440" ht="15.75" customHeight="1" x14ac:dyDescent="0.35"/>
    <row r="1441" ht="15.75" customHeight="1" x14ac:dyDescent="0.35"/>
    <row r="1442" ht="15.75" customHeight="1" x14ac:dyDescent="0.35"/>
    <row r="1443" ht="15.75" customHeight="1" x14ac:dyDescent="0.35"/>
    <row r="1444" ht="15.75" customHeight="1" x14ac:dyDescent="0.35"/>
    <row r="1445" ht="15.75" customHeight="1" x14ac:dyDescent="0.35"/>
    <row r="1446" ht="15.75" customHeight="1" x14ac:dyDescent="0.35"/>
    <row r="1447" ht="15.75" customHeight="1" x14ac:dyDescent="0.35"/>
    <row r="1448" ht="15.75" customHeight="1" x14ac:dyDescent="0.35"/>
    <row r="1449" ht="15.75" customHeight="1" x14ac:dyDescent="0.35"/>
    <row r="1450" ht="15.75" customHeight="1" x14ac:dyDescent="0.35"/>
    <row r="1451" ht="15.75" customHeight="1" x14ac:dyDescent="0.35"/>
    <row r="1452" ht="15.75" customHeight="1" x14ac:dyDescent="0.35"/>
    <row r="1453" ht="15.75" customHeight="1" x14ac:dyDescent="0.35"/>
    <row r="1454" ht="15.75" customHeight="1" x14ac:dyDescent="0.35"/>
    <row r="1455" ht="15.75" customHeight="1" x14ac:dyDescent="0.35"/>
    <row r="1456" ht="15.75" customHeight="1" x14ac:dyDescent="0.35"/>
    <row r="1457" ht="15.75" customHeight="1" x14ac:dyDescent="0.35"/>
    <row r="1458" ht="15.75" customHeight="1" x14ac:dyDescent="0.35"/>
    <row r="1459" ht="15.75" customHeight="1" x14ac:dyDescent="0.35"/>
    <row r="1460" ht="15.75" customHeight="1" x14ac:dyDescent="0.35"/>
    <row r="1461" ht="15.75" customHeight="1" x14ac:dyDescent="0.35"/>
    <row r="1462" ht="15.75" customHeight="1" x14ac:dyDescent="0.35"/>
    <row r="1463" ht="15.75" customHeight="1" x14ac:dyDescent="0.35"/>
    <row r="1464" ht="15.75" customHeight="1" x14ac:dyDescent="0.35"/>
    <row r="1465" ht="15.75" customHeight="1" x14ac:dyDescent="0.35"/>
    <row r="1466" ht="15.75" customHeight="1" x14ac:dyDescent="0.35"/>
    <row r="1467" ht="15.75" customHeight="1" x14ac:dyDescent="0.35"/>
    <row r="1468" ht="15.75" customHeight="1" x14ac:dyDescent="0.35"/>
    <row r="1469" ht="15.75" customHeight="1" x14ac:dyDescent="0.35"/>
    <row r="1470" ht="15.75" customHeight="1" x14ac:dyDescent="0.35"/>
    <row r="1471" ht="15.75" customHeight="1" x14ac:dyDescent="0.35"/>
    <row r="1472" ht="15.75" customHeight="1" x14ac:dyDescent="0.35"/>
    <row r="1473" ht="15.75" customHeight="1" x14ac:dyDescent="0.35"/>
    <row r="1474" ht="15.75" customHeight="1" x14ac:dyDescent="0.35"/>
    <row r="1475" ht="15.75" customHeight="1" x14ac:dyDescent="0.35"/>
    <row r="1476" ht="15.75" customHeight="1" x14ac:dyDescent="0.35"/>
    <row r="1477" ht="15.75" customHeight="1" x14ac:dyDescent="0.35"/>
    <row r="1478" ht="15.75" customHeight="1" x14ac:dyDescent="0.35"/>
    <row r="1479" ht="15.75" customHeight="1" x14ac:dyDescent="0.35"/>
    <row r="1480" ht="15.75" customHeight="1" x14ac:dyDescent="0.35"/>
    <row r="1481" ht="15.75" customHeight="1" x14ac:dyDescent="0.35"/>
    <row r="1482" ht="15.75" customHeight="1" x14ac:dyDescent="0.35"/>
    <row r="1483" ht="15.75" customHeight="1" x14ac:dyDescent="0.35"/>
    <row r="1484" ht="15.75" customHeight="1" x14ac:dyDescent="0.35"/>
    <row r="1485" ht="15.75" customHeight="1" x14ac:dyDescent="0.35"/>
    <row r="1486" ht="15.75" customHeight="1" x14ac:dyDescent="0.35"/>
    <row r="1487" ht="15.75" customHeight="1" x14ac:dyDescent="0.35"/>
    <row r="1488" ht="15.75" customHeight="1" x14ac:dyDescent="0.35"/>
    <row r="1489" ht="15.75" customHeight="1" x14ac:dyDescent="0.35"/>
    <row r="1490" ht="15.75" customHeight="1" x14ac:dyDescent="0.35"/>
    <row r="1491" ht="15.75" customHeight="1" x14ac:dyDescent="0.35"/>
    <row r="1492" ht="15.75" customHeight="1" x14ac:dyDescent="0.35"/>
    <row r="1493" ht="15.75" customHeight="1" x14ac:dyDescent="0.35"/>
    <row r="1494" ht="15.75" customHeight="1" x14ac:dyDescent="0.35"/>
    <row r="1495" ht="15.75" customHeight="1" x14ac:dyDescent="0.35"/>
    <row r="1496" ht="15.75" customHeight="1" x14ac:dyDescent="0.35"/>
    <row r="1497" ht="15.75" customHeight="1" x14ac:dyDescent="0.35"/>
    <row r="1498" ht="15.75" customHeight="1" x14ac:dyDescent="0.35"/>
    <row r="1499" ht="15.75" customHeight="1" x14ac:dyDescent="0.35"/>
    <row r="1500" ht="15.75" customHeight="1" x14ac:dyDescent="0.35"/>
    <row r="1501" ht="15.75" customHeight="1" x14ac:dyDescent="0.35"/>
    <row r="1502" ht="15.75" customHeight="1" x14ac:dyDescent="0.35"/>
    <row r="1503" ht="15.75" customHeight="1" x14ac:dyDescent="0.35"/>
    <row r="1504" ht="15.75" customHeight="1" x14ac:dyDescent="0.35"/>
    <row r="1505" ht="15.75" customHeight="1" x14ac:dyDescent="0.35"/>
    <row r="1506" ht="15.75" customHeight="1" x14ac:dyDescent="0.35"/>
    <row r="1507" ht="15.75" customHeight="1" x14ac:dyDescent="0.35"/>
    <row r="1508" ht="15.75" customHeight="1" x14ac:dyDescent="0.35"/>
    <row r="1509" ht="15.75" customHeight="1" x14ac:dyDescent="0.35"/>
    <row r="1510" ht="15.75" customHeight="1" x14ac:dyDescent="0.35"/>
    <row r="1511" ht="15.75" customHeight="1" x14ac:dyDescent="0.35"/>
    <row r="1512" ht="15.75" customHeight="1" x14ac:dyDescent="0.35"/>
    <row r="1513" ht="15.75" customHeight="1" x14ac:dyDescent="0.35"/>
    <row r="1514" ht="15.75" customHeight="1" x14ac:dyDescent="0.35"/>
    <row r="1515" ht="15.75" customHeight="1" x14ac:dyDescent="0.35"/>
    <row r="1516" ht="15.75" customHeight="1" x14ac:dyDescent="0.35"/>
    <row r="1517" ht="15.75" customHeight="1" x14ac:dyDescent="0.35"/>
    <row r="1518" ht="15.75" customHeight="1" x14ac:dyDescent="0.35"/>
    <row r="1519" ht="15.75" customHeight="1" x14ac:dyDescent="0.35"/>
    <row r="1520" ht="15.75" customHeight="1" x14ac:dyDescent="0.35"/>
    <row r="1521" ht="15.75" customHeight="1" x14ac:dyDescent="0.35"/>
    <row r="1522" ht="15.75" customHeight="1" x14ac:dyDescent="0.35"/>
    <row r="1523" ht="15.75" customHeight="1" x14ac:dyDescent="0.35"/>
    <row r="1524" ht="15.75" customHeight="1" x14ac:dyDescent="0.35"/>
    <row r="1525" ht="15.75" customHeight="1" x14ac:dyDescent="0.35"/>
    <row r="1526" ht="15.75" customHeight="1" x14ac:dyDescent="0.35"/>
    <row r="1527" ht="15.75" customHeight="1" x14ac:dyDescent="0.35"/>
    <row r="1528" ht="15.75" customHeight="1" x14ac:dyDescent="0.35"/>
    <row r="1529" ht="15.75" customHeight="1" x14ac:dyDescent="0.35"/>
    <row r="1530" ht="15.75" customHeight="1" x14ac:dyDescent="0.35"/>
    <row r="1531" ht="15.75" customHeight="1" x14ac:dyDescent="0.35"/>
    <row r="1532" ht="15.75" customHeight="1" x14ac:dyDescent="0.35"/>
    <row r="1533" ht="15.75" customHeight="1" x14ac:dyDescent="0.35"/>
    <row r="1534" ht="15.75" customHeight="1" x14ac:dyDescent="0.35"/>
    <row r="1535" ht="15.75" customHeight="1" x14ac:dyDescent="0.35"/>
    <row r="1536" ht="15.75" customHeight="1" x14ac:dyDescent="0.35"/>
    <row r="1537" ht="15.75" customHeight="1" x14ac:dyDescent="0.35"/>
    <row r="1538" ht="15.75" customHeight="1" x14ac:dyDescent="0.35"/>
    <row r="1539" ht="15.75" customHeight="1" x14ac:dyDescent="0.35"/>
    <row r="1540" ht="15.75" customHeight="1" x14ac:dyDescent="0.35"/>
    <row r="1541" ht="15.75" customHeight="1" x14ac:dyDescent="0.35"/>
    <row r="1542" ht="15.75" customHeight="1" x14ac:dyDescent="0.35"/>
    <row r="1543" ht="15.75" customHeight="1" x14ac:dyDescent="0.35"/>
    <row r="1544" ht="15.75" customHeight="1" x14ac:dyDescent="0.35"/>
    <row r="1545" ht="15.75" customHeight="1" x14ac:dyDescent="0.35"/>
    <row r="1546" ht="15.75" customHeight="1" x14ac:dyDescent="0.35"/>
    <row r="1547" ht="15.75" customHeight="1" x14ac:dyDescent="0.35"/>
    <row r="1548" ht="15.75" customHeight="1" x14ac:dyDescent="0.35"/>
    <row r="1549" ht="15.75" customHeight="1" x14ac:dyDescent="0.35"/>
    <row r="1550" ht="15.75" customHeight="1" x14ac:dyDescent="0.35"/>
    <row r="1551" ht="15.75" customHeight="1" x14ac:dyDescent="0.35"/>
    <row r="1552" ht="15.75" customHeight="1" x14ac:dyDescent="0.35"/>
    <row r="1553" ht="15.75" customHeight="1" x14ac:dyDescent="0.35"/>
    <row r="1554" ht="15.75" customHeight="1" x14ac:dyDescent="0.35"/>
    <row r="1555" ht="15.75" customHeight="1" x14ac:dyDescent="0.35"/>
  </sheetData>
  <conditionalFormatting sqref="A3:N1085">
    <cfRule type="expression" dxfId="8" priority="4">
      <formula>NOT(ISERROR(SEARCH(($C$1),(A3))))</formula>
    </cfRule>
  </conditionalFormatting>
  <conditionalFormatting sqref="E2">
    <cfRule type="containsText" dxfId="7" priority="1" operator="containsText" text="CD">
      <formula>NOT(ISERROR(SEARCH(("CD"),(E2))))</formula>
    </cfRule>
    <cfRule type="containsText" dxfId="6" priority="2" operator="containsText" text="DVD">
      <formula>NOT(ISERROR(SEARCH(("DVD"),(E2))))</formula>
    </cfRule>
    <cfRule type="containsText" dxfId="5" priority="3" operator="containsText" text="Book">
      <formula>NOT(ISERROR(SEARCH(("Book"),(E2))))</formula>
    </cfRule>
  </conditionalFormatting>
  <dataValidations count="1">
    <dataValidation type="list" allowBlank="1" showErrorMessage="1" sqref="E2" xr:uid="{00000000-0002-0000-0100-000000000000}">
      <formula1>"""Book""+""Dvd"""</formula1>
    </dataValidation>
  </dataValidations>
  <pageMargins left="0.7" right="0.7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555"/>
  <sheetViews>
    <sheetView tabSelected="1" workbookViewId="0">
      <pane ySplit="2" topLeftCell="A3" activePane="bottomLeft" state="frozen"/>
      <selection pane="bottomLeft" activeCell="C2" sqref="C2"/>
    </sheetView>
  </sheetViews>
  <sheetFormatPr defaultColWidth="14.453125" defaultRowHeight="15" customHeight="1" x14ac:dyDescent="0.35"/>
  <cols>
    <col min="1" max="1" width="41.7265625" customWidth="1"/>
    <col min="2" max="2" width="41.54296875" hidden="1" customWidth="1"/>
    <col min="3" max="3" width="83.1796875" bestFit="1" customWidth="1"/>
    <col min="4" max="5" width="40.453125" customWidth="1"/>
    <col min="6" max="8" width="22.54296875" customWidth="1"/>
    <col min="9" max="10" width="17.453125" customWidth="1"/>
    <col min="11" max="11" width="48.54296875" hidden="1" customWidth="1"/>
    <col min="12" max="12" width="11.453125" hidden="1" customWidth="1"/>
    <col min="13" max="13" width="60.54296875" hidden="1" customWidth="1"/>
    <col min="14" max="14" width="56.54296875" hidden="1" customWidth="1"/>
  </cols>
  <sheetData>
    <row r="1" spans="1:14" ht="45.75" customHeight="1" x14ac:dyDescent="0.35">
      <c r="A1" s="5" t="s">
        <v>1768</v>
      </c>
      <c r="B1" s="2" t="s">
        <v>1769</v>
      </c>
      <c r="C1" s="6"/>
      <c r="D1" s="7" t="s">
        <v>1770</v>
      </c>
    </row>
    <row r="2" spans="1:14" ht="36.75" customHeight="1" x14ac:dyDescent="0.35">
      <c r="A2" s="8" t="s">
        <v>0</v>
      </c>
      <c r="B2" s="9" t="s">
        <v>1771</v>
      </c>
      <c r="C2" s="14"/>
      <c r="D2" s="9" t="s">
        <v>3</v>
      </c>
      <c r="E2" s="9" t="s">
        <v>4</v>
      </c>
      <c r="F2" s="9" t="s">
        <v>5</v>
      </c>
      <c r="G2" s="9" t="s">
        <v>6</v>
      </c>
      <c r="H2" s="9" t="s">
        <v>7</v>
      </c>
      <c r="I2" s="9" t="s">
        <v>8</v>
      </c>
      <c r="J2" s="9" t="s">
        <v>9</v>
      </c>
      <c r="K2" s="9" t="s">
        <v>10</v>
      </c>
      <c r="L2" s="9" t="s">
        <v>11</v>
      </c>
      <c r="M2" s="9" t="s">
        <v>12</v>
      </c>
      <c r="N2" s="11" t="s">
        <v>13</v>
      </c>
    </row>
    <row r="3" spans="1:14" ht="14.5" x14ac:dyDescent="0.35">
      <c r="A3" s="2" t="str">
        <f ca="1">IFERROR(__xludf.DUMMYFUNCTION("FILTER('Special Help Table'!A2:N1084,ISNUMBER(SEARCH(C1,'Special Help Table'!A2:A1084))+ISNUMBER(SEARCH(C1,'Special Help Table'!B2:B1084))+ISNUMBER(SEARCH(C1,'Special Help Table'!C2:C1084))+ISNUMBER(SEARCH(C1,'Special Help Table'!D2:D1084))+ISNUMBER(SEARC"&amp;"H(C1,'Special Help Table'!E2:E1084))+ISNUMBER(SEARCH(C1,'Special Help Table'!F2:F1084))+ISNUMBER(SEARCH(C1,'Special Help Table'!G2:G1084))+ISNUMBER(SEARCH(C1,'Special Help Table'!H2:H1084))+ISNUMBER(SEARCH(C1,'Special Help Table'!I2:I1084))+ISNUMBER(SEARC"&amp;"H(C1,'Special Help Table'!J2:J1084))+ISNUMBER(SEARCH(C1,'Special Help Table'!K2:K1084))+ISNUMBER(SEARCH(C1,'Special Help Table'!L2:L1084))+ISNUMBER(SEARCH(C1,'Special Help Table'!M2:M1084))+ISNUMBER(SEARCH(C1,'Special Help Table'!N2:N1084)))"),"Adams, Jay")</f>
        <v>Adams, Jay</v>
      </c>
      <c r="B3" s="12" t="str">
        <f ca="1">IFERROR(__xludf.DUMMYFUNCTION("""COMPUTED_VALUE""")," Jay Adams")</f>
        <v xml:space="preserve"> Jay Adams</v>
      </c>
      <c r="C3" s="12" t="str">
        <f ca="1">IFERROR(__xludf.DUMMYFUNCTION("""COMPUTED_VALUE"""),"A Call for Discernment: Distinguishing Truth from Error in Today's Church")</f>
        <v>A Call for Discernment: Distinguishing Truth from Error in Today's Church</v>
      </c>
      <c r="D3" s="4"/>
      <c r="E3" s="12" t="str">
        <f ca="1">IFERROR(__xludf.DUMMYFUNCTION("""COMPUTED_VALUE"""),"Book")</f>
        <v>Book</v>
      </c>
      <c r="F3" s="12" t="str">
        <f ca="1">IFERROR(__xludf.DUMMYFUNCTION("""COMPUTED_VALUE"""),"Worldview")</f>
        <v>Worldview</v>
      </c>
      <c r="G3" s="12"/>
      <c r="H3" s="12"/>
      <c r="I3" s="12"/>
      <c r="J3" s="12"/>
      <c r="K3" s="13">
        <f ca="1">IFERROR(__xludf.DUMMYFUNCTION("""COMPUTED_VALUE"""),40026)</f>
        <v>40026</v>
      </c>
      <c r="L3" s="12"/>
      <c r="M3" s="12"/>
      <c r="N3" s="12" t="str">
        <f ca="1">IFERROR(__xludf.DUMMYFUNCTION("""COMPUTED_VALUE"""),"Table1")</f>
        <v>Table1</v>
      </c>
    </row>
    <row r="4" spans="1:14" ht="14.5" x14ac:dyDescent="0.35">
      <c r="A4" s="12" t="str">
        <f ca="1">IFERROR(__xludf.DUMMYFUNCTION("""COMPUTED_VALUE"""),"Allberry, Sam")</f>
        <v>Allberry, Sam</v>
      </c>
      <c r="B4" s="12" t="str">
        <f ca="1">IFERROR(__xludf.DUMMYFUNCTION("""COMPUTED_VALUE""")," Sam Allberry")</f>
        <v xml:space="preserve"> Sam Allberry</v>
      </c>
      <c r="C4" s="12" t="str">
        <f ca="1">IFERROR(__xludf.DUMMYFUNCTION("""COMPUTED_VALUE"""),"Why bother with the Church")</f>
        <v>Why bother with the Church</v>
      </c>
      <c r="D4" s="4"/>
      <c r="E4" s="12" t="str">
        <f ca="1">IFERROR(__xludf.DUMMYFUNCTION("""COMPUTED_VALUE"""),"Book")</f>
        <v>Book</v>
      </c>
      <c r="F4" s="12" t="str">
        <f ca="1">IFERROR(__xludf.DUMMYFUNCTION("""COMPUTED_VALUE"""),"Church")</f>
        <v>Church</v>
      </c>
      <c r="G4" s="12"/>
      <c r="H4" s="12"/>
      <c r="I4" s="12"/>
      <c r="J4" s="12"/>
      <c r="K4" s="13"/>
      <c r="L4" s="12"/>
      <c r="M4" s="12"/>
      <c r="N4" s="12" t="str">
        <f ca="1">IFERROR(__xludf.DUMMYFUNCTION("""COMPUTED_VALUE"""),"Table1")</f>
        <v>Table1</v>
      </c>
    </row>
    <row r="5" spans="1:14" ht="14.5" x14ac:dyDescent="0.35">
      <c r="A5" s="12" t="str">
        <f ca="1">IFERROR(__xludf.DUMMYFUNCTION("""COMPUTED_VALUE"""),"Anyabwile, Thabiti")</f>
        <v>Anyabwile, Thabiti</v>
      </c>
      <c r="B5" s="12" t="str">
        <f ca="1">IFERROR(__xludf.DUMMYFUNCTION("""COMPUTED_VALUE""")," Thabiti Anyabwile")</f>
        <v xml:space="preserve"> Thabiti Anyabwile</v>
      </c>
      <c r="C5" s="12" t="str">
        <f ca="1">IFERROR(__xludf.DUMMYFUNCTION("""COMPUTED_VALUE"""),"What is a Healthy Church Member?")</f>
        <v>What is a Healthy Church Member?</v>
      </c>
      <c r="D5" s="4"/>
      <c r="E5" s="12" t="str">
        <f ca="1">IFERROR(__xludf.DUMMYFUNCTION("""COMPUTED_VALUE"""),"Book")</f>
        <v>Book</v>
      </c>
      <c r="F5" s="12" t="str">
        <f ca="1">IFERROR(__xludf.DUMMYFUNCTION("""COMPUTED_VALUE"""),"Church")</f>
        <v>Church</v>
      </c>
      <c r="G5" s="12"/>
      <c r="H5" s="12"/>
      <c r="I5" s="12"/>
      <c r="J5" s="12" t="str">
        <f ca="1">IFERROR(__xludf.DUMMYFUNCTION("""COMPUTED_VALUE"""),"Church Membership")</f>
        <v>Church Membership</v>
      </c>
      <c r="K5" s="13">
        <f ca="1">IFERROR(__xludf.DUMMYFUNCTION("""COMPUTED_VALUE"""),40735)</f>
        <v>40735</v>
      </c>
      <c r="L5" s="12"/>
      <c r="M5" s="12"/>
      <c r="N5" s="12" t="str">
        <f ca="1">IFERROR(__xludf.DUMMYFUNCTION("""COMPUTED_VALUE"""),"Table1")</f>
        <v>Table1</v>
      </c>
    </row>
    <row r="6" spans="1:14" ht="14.5" x14ac:dyDescent="0.35">
      <c r="A6" s="12" t="str">
        <f ca="1">IFERROR(__xludf.DUMMYFUNCTION("""COMPUTED_VALUE"""),"Ash, Christopher")</f>
        <v>Ash, Christopher</v>
      </c>
      <c r="B6" s="12" t="str">
        <f ca="1">IFERROR(__xludf.DUMMYFUNCTION("""COMPUTED_VALUE""")," Christopher Ash")</f>
        <v xml:space="preserve"> Christopher Ash</v>
      </c>
      <c r="C6" s="12" t="str">
        <f ca="1">IFERROR(__xludf.DUMMYFUNCTION("""COMPUTED_VALUE"""),"The Book Your Pastor Wishes You Would Read (but is too embarrassed to ask)")</f>
        <v>The Book Your Pastor Wishes You Would Read (but is too embarrassed to ask)</v>
      </c>
      <c r="D6" s="4"/>
      <c r="E6" s="12" t="str">
        <f ca="1">IFERROR(__xludf.DUMMYFUNCTION("""COMPUTED_VALUE"""),"Book")</f>
        <v>Book</v>
      </c>
      <c r="F6" s="12" t="str">
        <f ca="1">IFERROR(__xludf.DUMMYFUNCTION("""COMPUTED_VALUE"""),"Discipleship")</f>
        <v>Discipleship</v>
      </c>
      <c r="G6" s="12" t="str">
        <f ca="1">IFERROR(__xludf.DUMMYFUNCTION("""COMPUTED_VALUE"""),"Church")</f>
        <v>Church</v>
      </c>
      <c r="H6" s="12"/>
      <c r="I6" s="12"/>
      <c r="J6" s="12" t="str">
        <f ca="1">IFERROR(__xludf.DUMMYFUNCTION("""COMPUTED_VALUE"""),"Church Leaders")</f>
        <v>Church Leaders</v>
      </c>
      <c r="K6" s="13">
        <f ca="1">IFERROR(__xludf.DUMMYFUNCTION("""COMPUTED_VALUE"""),43872)</f>
        <v>43872</v>
      </c>
      <c r="L6" s="12"/>
      <c r="M6" s="12"/>
      <c r="N6" s="12" t="str">
        <f ca="1">IFERROR(__xludf.DUMMYFUNCTION("""COMPUTED_VALUE"""),"Table1")</f>
        <v>Table1</v>
      </c>
    </row>
    <row r="7" spans="1:14" ht="14.5" x14ac:dyDescent="0.35">
      <c r="A7" s="12" t="str">
        <f ca="1">IFERROR(__xludf.DUMMYFUNCTION("""COMPUTED_VALUE"""),"Ash, Christopher")</f>
        <v>Ash, Christopher</v>
      </c>
      <c r="B7" s="12" t="str">
        <f ca="1">IFERROR(__xludf.DUMMYFUNCTION("""COMPUTED_VALUE""")," Christopher Ash")</f>
        <v xml:space="preserve"> Christopher Ash</v>
      </c>
      <c r="C7" s="12" t="str">
        <f ca="1">IFERROR(__xludf.DUMMYFUNCTION("""COMPUTED_VALUE"""),"Zeal without Burnout")</f>
        <v>Zeal without Burnout</v>
      </c>
      <c r="D7" s="4"/>
      <c r="E7" s="12" t="str">
        <f ca="1">IFERROR(__xludf.DUMMYFUNCTION("""COMPUTED_VALUE"""),"Book")</f>
        <v>Book</v>
      </c>
      <c r="F7" s="12" t="str">
        <f ca="1">IFERROR(__xludf.DUMMYFUNCTION("""COMPUTED_VALUE"""),"Discipleship")</f>
        <v>Discipleship</v>
      </c>
      <c r="G7" s="12"/>
      <c r="H7" s="12"/>
      <c r="I7" s="12"/>
      <c r="J7" s="12" t="str">
        <f ca="1">IFERROR(__xludf.DUMMYFUNCTION("""COMPUTED_VALUE"""),"Church Leaders")</f>
        <v>Church Leaders</v>
      </c>
      <c r="K7" s="13">
        <f ca="1">IFERROR(__xludf.DUMMYFUNCTION("""COMPUTED_VALUE"""),42476)</f>
        <v>42476</v>
      </c>
      <c r="L7" s="12"/>
      <c r="M7" s="12"/>
      <c r="N7" s="12" t="str">
        <f ca="1">IFERROR(__xludf.DUMMYFUNCTION("""COMPUTED_VALUE"""),"Table1")</f>
        <v>Table1</v>
      </c>
    </row>
    <row r="8" spans="1:14" ht="14.5" x14ac:dyDescent="0.35">
      <c r="A8" s="12" t="str">
        <f ca="1">IFERROR(__xludf.DUMMYFUNCTION("""COMPUTED_VALUE"""),"Byrd, Aimee")</f>
        <v>Byrd, Aimee</v>
      </c>
      <c r="B8" s="12" t="str">
        <f ca="1">IFERROR(__xludf.DUMMYFUNCTION("""COMPUTED_VALUE""")," Aimee Byrd")</f>
        <v xml:space="preserve"> Aimee Byrd</v>
      </c>
      <c r="C8" s="12" t="str">
        <f ca="1">IFERROR(__xludf.DUMMYFUNCTION("""COMPUTED_VALUE"""),"No Little Women: Equipping All Women in the Household of God ")</f>
        <v xml:space="preserve">No Little Women: Equipping All Women in the Household of God </v>
      </c>
      <c r="D8" s="4"/>
      <c r="E8" s="12" t="str">
        <f ca="1">IFERROR(__xludf.DUMMYFUNCTION("""COMPUTED_VALUE"""),"Book")</f>
        <v>Book</v>
      </c>
      <c r="F8" s="12" t="str">
        <f ca="1">IFERROR(__xludf.DUMMYFUNCTION("""COMPUTED_VALUE"""),"Church")</f>
        <v>Church</v>
      </c>
      <c r="G8" s="12"/>
      <c r="H8" s="12"/>
      <c r="I8" s="12"/>
      <c r="J8" s="12" t="str">
        <f ca="1">IFERROR(__xludf.DUMMYFUNCTION("""COMPUTED_VALUE"""),"Christian Women")</f>
        <v>Christian Women</v>
      </c>
      <c r="K8" s="13">
        <f ca="1">IFERROR(__xludf.DUMMYFUNCTION("""COMPUTED_VALUE"""),42884)</f>
        <v>42884</v>
      </c>
      <c r="L8" s="12"/>
      <c r="M8" s="12"/>
      <c r="N8" s="12" t="str">
        <f ca="1">IFERROR(__xludf.DUMMYFUNCTION("""COMPUTED_VALUE"""),"Table1")</f>
        <v>Table1</v>
      </c>
    </row>
    <row r="9" spans="1:14" ht="14.5" x14ac:dyDescent="0.35">
      <c r="A9" s="12" t="str">
        <f ca="1">IFERROR(__xludf.DUMMYFUNCTION("""COMPUTED_VALUE"""),"Carson, D.A.")</f>
        <v>Carson, D.A.</v>
      </c>
      <c r="B9" s="12" t="str">
        <f ca="1">IFERROR(__xludf.DUMMYFUNCTION("""COMPUTED_VALUE""")," D.A. Carson")</f>
        <v xml:space="preserve"> D.A. Carson</v>
      </c>
      <c r="C9" s="12" t="str">
        <f ca="1">IFERROR(__xludf.DUMMYFUNCTION("""COMPUTED_VALUE"""),"Becoming Conversant with the Emerging Church: Understanding a Movement and Its Implications")</f>
        <v>Becoming Conversant with the Emerging Church: Understanding a Movement and Its Implications</v>
      </c>
      <c r="D9" s="4"/>
      <c r="E9" s="12" t="str">
        <f ca="1">IFERROR(__xludf.DUMMYFUNCTION("""COMPUTED_VALUE"""),"Book")</f>
        <v>Book</v>
      </c>
      <c r="F9" s="12" t="str">
        <f ca="1">IFERROR(__xludf.DUMMYFUNCTION("""COMPUTED_VALUE"""),"Church")</f>
        <v>Church</v>
      </c>
      <c r="G9" s="12"/>
      <c r="H9" s="12"/>
      <c r="I9" s="12"/>
      <c r="J9" s="12"/>
      <c r="K9" s="13">
        <f ca="1">IFERROR(__xludf.DUMMYFUNCTION("""COMPUTED_VALUE"""),40247)</f>
        <v>40247</v>
      </c>
      <c r="L9" s="12"/>
      <c r="M9" s="12"/>
      <c r="N9" s="12" t="str">
        <f ca="1">IFERROR(__xludf.DUMMYFUNCTION("""COMPUTED_VALUE"""),"Table1")</f>
        <v>Table1</v>
      </c>
    </row>
    <row r="10" spans="1:14" ht="14.5" x14ac:dyDescent="0.35">
      <c r="A10" s="12" t="str">
        <f ca="1">IFERROR(__xludf.DUMMYFUNCTION("""COMPUTED_VALUE"""),"Carson, D.A.")</f>
        <v>Carson, D.A.</v>
      </c>
      <c r="B10" s="12" t="str">
        <f ca="1">IFERROR(__xludf.DUMMYFUNCTION("""COMPUTED_VALUE""")," D.A. Carson")</f>
        <v xml:space="preserve"> D.A. Carson</v>
      </c>
      <c r="C10" s="12" t="str">
        <f ca="1">IFERROR(__xludf.DUMMYFUNCTION("""COMPUTED_VALUE"""),"The Cross and Christian Ministry")</f>
        <v>The Cross and Christian Ministry</v>
      </c>
      <c r="D10" s="4"/>
      <c r="E10" s="12" t="str">
        <f ca="1">IFERROR(__xludf.DUMMYFUNCTION("""COMPUTED_VALUE"""),"Book")</f>
        <v>Book</v>
      </c>
      <c r="F10" s="12" t="str">
        <f ca="1">IFERROR(__xludf.DUMMYFUNCTION("""COMPUTED_VALUE"""),"Church")</f>
        <v>Church</v>
      </c>
      <c r="G10" s="12"/>
      <c r="H10" s="12"/>
      <c r="I10" s="12"/>
      <c r="J10" s="12" t="str">
        <f ca="1">IFERROR(__xludf.DUMMYFUNCTION("""COMPUTED_VALUE"""),"Church Leaders")</f>
        <v>Church Leaders</v>
      </c>
      <c r="K10" s="13">
        <f ca="1">IFERROR(__xludf.DUMMYFUNCTION("""COMPUTED_VALUE"""),40034)</f>
        <v>40034</v>
      </c>
      <c r="L10" s="12"/>
      <c r="M10" s="12"/>
      <c r="N10" s="12" t="str">
        <f ca="1">IFERROR(__xludf.DUMMYFUNCTION("""COMPUTED_VALUE"""),"Table1")</f>
        <v>Table1</v>
      </c>
    </row>
    <row r="11" spans="1:14" ht="14.5" x14ac:dyDescent="0.35">
      <c r="A11" s="12" t="str">
        <f ca="1">IFERROR(__xludf.DUMMYFUNCTION("""COMPUTED_VALUE"""),"Castleman, Robbie")</f>
        <v>Castleman, Robbie</v>
      </c>
      <c r="B11" s="12" t="str">
        <f ca="1">IFERROR(__xludf.DUMMYFUNCTION("""COMPUTED_VALUE""")," Robbie Castleman")</f>
        <v xml:space="preserve"> Robbie Castleman</v>
      </c>
      <c r="C11" s="12" t="str">
        <f ca="1">IFERROR(__xludf.DUMMYFUNCTION("""COMPUTED_VALUE"""),"Parenting in the Pew: Guiding Your Children into the Joy of Worship")</f>
        <v>Parenting in the Pew: Guiding Your Children into the Joy of Worship</v>
      </c>
      <c r="D11" s="4"/>
      <c r="E11" s="12" t="str">
        <f ca="1">IFERROR(__xludf.DUMMYFUNCTION("""COMPUTED_VALUE"""),"Book")</f>
        <v>Book</v>
      </c>
      <c r="F11" s="12" t="str">
        <f ca="1">IFERROR(__xludf.DUMMYFUNCTION("""COMPUTED_VALUE"""),"Understanding Mankind")</f>
        <v>Understanding Mankind</v>
      </c>
      <c r="G11" s="12" t="str">
        <f ca="1">IFERROR(__xludf.DUMMYFUNCTION("""COMPUTED_VALUE"""),"Church?")</f>
        <v>Church?</v>
      </c>
      <c r="H11" s="12"/>
      <c r="I11" s="12"/>
      <c r="J11" s="12" t="str">
        <f ca="1">IFERROR(__xludf.DUMMYFUNCTION("""COMPUTED_VALUE"""),"Parenting")</f>
        <v>Parenting</v>
      </c>
      <c r="K11" s="13">
        <f ca="1">IFERROR(__xludf.DUMMYFUNCTION("""COMPUTED_VALUE"""),42353)</f>
        <v>42353</v>
      </c>
      <c r="L11" s="12"/>
      <c r="M11" s="12"/>
      <c r="N11" s="12" t="str">
        <f ca="1">IFERROR(__xludf.DUMMYFUNCTION("""COMPUTED_VALUE"""),"Table1")</f>
        <v>Table1</v>
      </c>
    </row>
    <row r="12" spans="1:14" ht="14.5" x14ac:dyDescent="0.35">
      <c r="A12" s="12" t="str">
        <f ca="1">IFERROR(__xludf.DUMMYFUNCTION("""COMPUTED_VALUE"""),"Clark, Wayne C")</f>
        <v>Clark, Wayne C</v>
      </c>
      <c r="B12" s="12" t="str">
        <f ca="1">IFERROR(__xludf.DUMMYFUNCTION("""COMPUTED_VALUE""")," Wayne C Clark")</f>
        <v xml:space="preserve"> Wayne C Clark</v>
      </c>
      <c r="C12" s="12" t="str">
        <f ca="1">IFERROR(__xludf.DUMMYFUNCTION("""COMPUTED_VALUE"""),"The Meaning of Church Membership")</f>
        <v>The Meaning of Church Membership</v>
      </c>
      <c r="D12" s="4"/>
      <c r="E12" s="12" t="str">
        <f ca="1">IFERROR(__xludf.DUMMYFUNCTION("""COMPUTED_VALUE"""),"Book")</f>
        <v>Book</v>
      </c>
      <c r="F12" s="12" t="str">
        <f ca="1">IFERROR(__xludf.DUMMYFUNCTION("""COMPUTED_VALUE"""),"Church")</f>
        <v>Church</v>
      </c>
      <c r="G12" s="12"/>
      <c r="H12" s="12" t="str">
        <f ca="1">IFERROR(__xludf.DUMMYFUNCTION("""COMPUTED_VALUE"""),"9 Marks")</f>
        <v>9 Marks</v>
      </c>
      <c r="I12" s="12"/>
      <c r="J12" s="12" t="str">
        <f ca="1">IFERROR(__xludf.DUMMYFUNCTION("""COMPUTED_VALUE"""),"Church Membership")</f>
        <v>Church Membership</v>
      </c>
      <c r="K12" s="13">
        <f ca="1">IFERROR(__xludf.DUMMYFUNCTION("""COMPUTED_VALUE"""),40827)</f>
        <v>40827</v>
      </c>
      <c r="L12" s="12"/>
      <c r="M12" s="12"/>
      <c r="N12" s="12" t="str">
        <f ca="1">IFERROR(__xludf.DUMMYFUNCTION("""COMPUTED_VALUE"""),"Table1")</f>
        <v>Table1</v>
      </c>
    </row>
    <row r="13" spans="1:14" ht="14.5" x14ac:dyDescent="0.35">
      <c r="A13" s="12" t="str">
        <f ca="1">IFERROR(__xludf.DUMMYFUNCTION("""COMPUTED_VALUE"""),"Clowney, Edmund P.")</f>
        <v>Clowney, Edmund P.</v>
      </c>
      <c r="B13" s="12" t="str">
        <f ca="1">IFERROR(__xludf.DUMMYFUNCTION("""COMPUTED_VALUE""")," Edmund P. Clowney")</f>
        <v xml:space="preserve"> Edmund P. Clowney</v>
      </c>
      <c r="C13" s="12" t="str">
        <f ca="1">IFERROR(__xludf.DUMMYFUNCTION("""COMPUTED_VALUE"""),"The Church")</f>
        <v>The Church</v>
      </c>
      <c r="D13" s="4"/>
      <c r="E13" s="12" t="str">
        <f ca="1">IFERROR(__xludf.DUMMYFUNCTION("""COMPUTED_VALUE"""),"Book")</f>
        <v>Book</v>
      </c>
      <c r="F13" s="12" t="str">
        <f ca="1">IFERROR(__xludf.DUMMYFUNCTION("""COMPUTED_VALUE"""),"Church")</f>
        <v>Church</v>
      </c>
      <c r="G13" s="12"/>
      <c r="H13" s="12"/>
      <c r="I13" s="12"/>
      <c r="J13" s="12"/>
      <c r="K13" s="13">
        <f ca="1">IFERROR(__xludf.DUMMYFUNCTION("""COMPUTED_VALUE"""),40034)</f>
        <v>40034</v>
      </c>
      <c r="L13" s="12"/>
      <c r="M13" s="12"/>
      <c r="N13" s="12" t="str">
        <f ca="1">IFERROR(__xludf.DUMMYFUNCTION("""COMPUTED_VALUE"""),"Table1")</f>
        <v>Table1</v>
      </c>
    </row>
    <row r="14" spans="1:14" ht="14.5" x14ac:dyDescent="0.35">
      <c r="A14" s="12" t="str">
        <f ca="1">IFERROR(__xludf.DUMMYFUNCTION("""COMPUTED_VALUE"""),"Cosby, Brian  ")</f>
        <v xml:space="preserve">Cosby, Brian  </v>
      </c>
      <c r="B14" s="12" t="str">
        <f ca="1">IFERROR(__xludf.DUMMYFUNCTION("""COMPUTED_VALUE""")," Brian   Cosby")</f>
        <v xml:space="preserve"> Brian   Cosby</v>
      </c>
      <c r="C14" s="12" t="str">
        <f ca="1">IFERROR(__xludf.DUMMYFUNCTION("""COMPUTED_VALUE"""),"God's Story: A Student's Guide to Church History")</f>
        <v>God's Story: A Student's Guide to Church History</v>
      </c>
      <c r="D14" s="4"/>
      <c r="E14" s="12" t="str">
        <f ca="1">IFERROR(__xludf.DUMMYFUNCTION("""COMPUTED_VALUE"""),"Book")</f>
        <v>Book</v>
      </c>
      <c r="F14" s="12" t="str">
        <f ca="1">IFERROR(__xludf.DUMMYFUNCTION("""COMPUTED_VALUE"""),"Church History")</f>
        <v>Church History</v>
      </c>
      <c r="G14" s="12"/>
      <c r="H14" s="12"/>
      <c r="I14" s="12"/>
      <c r="J14" s="12" t="str">
        <f ca="1">IFERROR(__xludf.DUMMYFUNCTION("""COMPUTED_VALUE"""),"History")</f>
        <v>History</v>
      </c>
      <c r="K14" s="13">
        <f ca="1">IFERROR(__xludf.DUMMYFUNCTION("""COMPUTED_VALUE"""),43160)</f>
        <v>43160</v>
      </c>
      <c r="L14" s="12"/>
      <c r="M14" s="12"/>
      <c r="N14" s="12" t="str">
        <f ca="1">IFERROR(__xludf.DUMMYFUNCTION("""COMPUTED_VALUE"""),"Table1")</f>
        <v>Table1</v>
      </c>
    </row>
    <row r="15" spans="1:14" ht="14.5" x14ac:dyDescent="0.35">
      <c r="A15" s="12" t="str">
        <f ca="1">IFERROR(__xludf.DUMMYFUNCTION("""COMPUTED_VALUE"""),"Croce, Mandy")</f>
        <v>Croce, Mandy</v>
      </c>
      <c r="B15" s="12" t="str">
        <f ca="1">IFERROR(__xludf.DUMMYFUNCTION("""COMPUTED_VALUE""")," Mandy Croce")</f>
        <v xml:space="preserve"> Mandy Croce</v>
      </c>
      <c r="C15" s="12" t="str">
        <f ca="1">IFERROR(__xludf.DUMMYFUNCTION("""COMPUTED_VALUE"""),"What is the Church?")</f>
        <v>What is the Church?</v>
      </c>
      <c r="D15" s="4" t="str">
        <f ca="1">IFERROR(__xludf.DUMMYFUNCTION("""COMPUTED_VALUE"""),"Bell, Bill/ 9 Marks")</f>
        <v>Bell, Bill/ 9 Marks</v>
      </c>
      <c r="E15" s="12" t="str">
        <f ca="1">IFERROR(__xludf.DUMMYFUNCTION("""COMPUTED_VALUE"""),"Book")</f>
        <v>Book</v>
      </c>
      <c r="F15" s="12" t="str">
        <f ca="1">IFERROR(__xludf.DUMMYFUNCTION("""COMPUTED_VALUE"""),"Church")</f>
        <v>Church</v>
      </c>
      <c r="G15" s="12"/>
      <c r="H15" s="12"/>
      <c r="I15" s="12" t="str">
        <f ca="1">IFERROR(__xludf.DUMMYFUNCTION("""COMPUTED_VALUE"""),"9 Marks?")</f>
        <v>9 Marks?</v>
      </c>
      <c r="J15" s="12"/>
      <c r="K15" s="13"/>
      <c r="L15" s="12" t="str">
        <f ca="1">IFERROR(__xludf.DUMMYFUNCTION("""COMPUTED_VALUE"""),"Missing as of February 2020")</f>
        <v>Missing as of February 2020</v>
      </c>
      <c r="M15" s="12"/>
      <c r="N15" s="12" t="str">
        <f ca="1">IFERROR(__xludf.DUMMYFUNCTION("""COMPUTED_VALUE"""),"Table1")</f>
        <v>Table1</v>
      </c>
    </row>
    <row r="16" spans="1:14" ht="14.5" x14ac:dyDescent="0.35">
      <c r="A16" s="12" t="str">
        <f ca="1">IFERROR(__xludf.DUMMYFUNCTION("""COMPUTED_VALUE"""),"Dever, Mark")</f>
        <v>Dever, Mark</v>
      </c>
      <c r="B16" s="12" t="str">
        <f ca="1">IFERROR(__xludf.DUMMYFUNCTION("""COMPUTED_VALUE""")," Mark Dever")</f>
        <v xml:space="preserve"> Mark Dever</v>
      </c>
      <c r="C16" s="12" t="str">
        <f ca="1">IFERROR(__xludf.DUMMYFUNCTION("""COMPUTED_VALUE"""),"The Compelling Community")</f>
        <v>The Compelling Community</v>
      </c>
      <c r="D16" s="4" t="str">
        <f ca="1">IFERROR(__xludf.DUMMYFUNCTION("""COMPUTED_VALUE"""),"Dunlop/ 9 Marks")</f>
        <v>Dunlop/ 9 Marks</v>
      </c>
      <c r="E16" s="12" t="str">
        <f ca="1">IFERROR(__xludf.DUMMYFUNCTION("""COMPUTED_VALUE"""),"Book")</f>
        <v>Book</v>
      </c>
      <c r="F16" s="12" t="str">
        <f ca="1">IFERROR(__xludf.DUMMYFUNCTION("""COMPUTED_VALUE"""),"Church")</f>
        <v>Church</v>
      </c>
      <c r="G16" s="12"/>
      <c r="H16" s="12"/>
      <c r="I16" s="12" t="str">
        <f ca="1">IFERROR(__xludf.DUMMYFUNCTION("""COMPUTED_VALUE"""),"9 Marks?")</f>
        <v>9 Marks?</v>
      </c>
      <c r="J16" s="12"/>
      <c r="K16" s="13">
        <f ca="1">IFERROR(__xludf.DUMMYFUNCTION("""COMPUTED_VALUE"""),42231)</f>
        <v>42231</v>
      </c>
      <c r="L16" s="12"/>
      <c r="M16" s="12"/>
      <c r="N16" s="12" t="str">
        <f ca="1">IFERROR(__xludf.DUMMYFUNCTION("""COMPUTED_VALUE"""),"Table1")</f>
        <v>Table1</v>
      </c>
    </row>
    <row r="17" spans="1:14" ht="14.5" x14ac:dyDescent="0.35">
      <c r="A17" s="12" t="str">
        <f ca="1">IFERROR(__xludf.DUMMYFUNCTION("""COMPUTED_VALUE"""),"Dever, Mark")</f>
        <v>Dever, Mark</v>
      </c>
      <c r="B17" s="12" t="str">
        <f ca="1">IFERROR(__xludf.DUMMYFUNCTION("""COMPUTED_VALUE""")," Mark Dever")</f>
        <v xml:space="preserve"> Mark Dever</v>
      </c>
      <c r="C17" s="12" t="str">
        <f ca="1">IFERROR(__xludf.DUMMYFUNCTION("""COMPUTED_VALUE"""),"The Deliberate Church")</f>
        <v>The Deliberate Church</v>
      </c>
      <c r="D17" s="4" t="str">
        <f ca="1">IFERROR(__xludf.DUMMYFUNCTION("""COMPUTED_VALUE"""),"Alexander/ 9 Marks")</f>
        <v>Alexander/ 9 Marks</v>
      </c>
      <c r="E17" s="12" t="str">
        <f ca="1">IFERROR(__xludf.DUMMYFUNCTION("""COMPUTED_VALUE"""),"Book")</f>
        <v>Book</v>
      </c>
      <c r="F17" s="12" t="str">
        <f ca="1">IFERROR(__xludf.DUMMYFUNCTION("""COMPUTED_VALUE"""),"Church")</f>
        <v>Church</v>
      </c>
      <c r="G17" s="12"/>
      <c r="H17" s="12"/>
      <c r="I17" s="12" t="str">
        <f ca="1">IFERROR(__xludf.DUMMYFUNCTION("""COMPUTED_VALUE"""),"9 Marks?")</f>
        <v>9 Marks?</v>
      </c>
      <c r="J17" s="12"/>
      <c r="K17" s="13">
        <f ca="1">IFERROR(__xludf.DUMMYFUNCTION("""COMPUTED_VALUE"""),40034)</f>
        <v>40034</v>
      </c>
      <c r="L17" s="12"/>
      <c r="M17" s="12"/>
      <c r="N17" s="12" t="str">
        <f ca="1">IFERROR(__xludf.DUMMYFUNCTION("""COMPUTED_VALUE"""),"Table1")</f>
        <v>Table1</v>
      </c>
    </row>
    <row r="18" spans="1:14" ht="14.5" x14ac:dyDescent="0.35">
      <c r="A18" s="12" t="str">
        <f ca="1">IFERROR(__xludf.DUMMYFUNCTION("""COMPUTED_VALUE"""),"Dever, Mark")</f>
        <v>Dever, Mark</v>
      </c>
      <c r="B18" s="12" t="str">
        <f ca="1">IFERROR(__xludf.DUMMYFUNCTION("""COMPUTED_VALUE""")," Mark Dever")</f>
        <v xml:space="preserve"> Mark Dever</v>
      </c>
      <c r="C18" s="12" t="str">
        <f ca="1">IFERROR(__xludf.DUMMYFUNCTION("""COMPUTED_VALUE"""),"Discipling")</f>
        <v>Discipling</v>
      </c>
      <c r="D18" s="4" t="str">
        <f ca="1">IFERROR(__xludf.DUMMYFUNCTION("""COMPUTED_VALUE"""),"9 Marks")</f>
        <v>9 Marks</v>
      </c>
      <c r="E18" s="12" t="str">
        <f ca="1">IFERROR(__xludf.DUMMYFUNCTION("""COMPUTED_VALUE"""),"Book")</f>
        <v>Book</v>
      </c>
      <c r="F18" s="12" t="str">
        <f ca="1">IFERROR(__xludf.DUMMYFUNCTION("""COMPUTED_VALUE"""),"Church")</f>
        <v>Church</v>
      </c>
      <c r="G18" s="12"/>
      <c r="H18" s="12" t="str">
        <f ca="1">IFERROR(__xludf.DUMMYFUNCTION("""COMPUTED_VALUE"""),"9 Marks")</f>
        <v>9 Marks</v>
      </c>
      <c r="I18" s="12"/>
      <c r="J18" s="12"/>
      <c r="K18" s="13">
        <f ca="1">IFERROR(__xludf.DUMMYFUNCTION("""COMPUTED_VALUE"""),40034)</f>
        <v>40034</v>
      </c>
      <c r="L18" s="12"/>
      <c r="M18" s="12"/>
      <c r="N18" s="12" t="str">
        <f ca="1">IFERROR(__xludf.DUMMYFUNCTION("""COMPUTED_VALUE"""),"Table1")</f>
        <v>Table1</v>
      </c>
    </row>
    <row r="19" spans="1:14" ht="14.5" x14ac:dyDescent="0.35">
      <c r="A19" s="12" t="str">
        <f ca="1">IFERROR(__xludf.DUMMYFUNCTION("""COMPUTED_VALUE"""),"Dever, Mark")</f>
        <v>Dever, Mark</v>
      </c>
      <c r="B19" s="12" t="str">
        <f ca="1">IFERROR(__xludf.DUMMYFUNCTION("""COMPUTED_VALUE""")," Mark Dever")</f>
        <v xml:space="preserve"> Mark Dever</v>
      </c>
      <c r="C19" s="12" t="str">
        <f ca="1">IFERROR(__xludf.DUMMYFUNCTION("""COMPUTED_VALUE"""),"Nine Marks of a Healthy Church")</f>
        <v>Nine Marks of a Healthy Church</v>
      </c>
      <c r="D19" s="4" t="str">
        <f ca="1">IFERROR(__xludf.DUMMYFUNCTION("""COMPUTED_VALUE"""),"9 Marks")</f>
        <v>9 Marks</v>
      </c>
      <c r="E19" s="12" t="str">
        <f ca="1">IFERROR(__xludf.DUMMYFUNCTION("""COMPUTED_VALUE"""),"Book")</f>
        <v>Book</v>
      </c>
      <c r="F19" s="12" t="str">
        <f ca="1">IFERROR(__xludf.DUMMYFUNCTION("""COMPUTED_VALUE"""),"Church")</f>
        <v>Church</v>
      </c>
      <c r="G19" s="12"/>
      <c r="H19" s="12" t="str">
        <f ca="1">IFERROR(__xludf.DUMMYFUNCTION("""COMPUTED_VALUE"""),"9 Marks")</f>
        <v>9 Marks</v>
      </c>
      <c r="I19" s="12"/>
      <c r="J19" s="12"/>
      <c r="K19" s="13">
        <f ca="1">IFERROR(__xludf.DUMMYFUNCTION("""COMPUTED_VALUE"""),42561)</f>
        <v>42561</v>
      </c>
      <c r="L19" s="12"/>
      <c r="M19" s="12"/>
      <c r="N19" s="12" t="str">
        <f ca="1">IFERROR(__xludf.DUMMYFUNCTION("""COMPUTED_VALUE"""),"Table1")</f>
        <v>Table1</v>
      </c>
    </row>
    <row r="20" spans="1:14" ht="14.5" x14ac:dyDescent="0.35">
      <c r="A20" s="12" t="str">
        <f ca="1">IFERROR(__xludf.DUMMYFUNCTION("""COMPUTED_VALUE"""),"Dever, Mark")</f>
        <v>Dever, Mark</v>
      </c>
      <c r="B20" s="12" t="str">
        <f ca="1">IFERROR(__xludf.DUMMYFUNCTION("""COMPUTED_VALUE""")," Mark Dever")</f>
        <v xml:space="preserve"> Mark Dever</v>
      </c>
      <c r="C20" s="12" t="str">
        <f ca="1">IFERROR(__xludf.DUMMYFUNCTION("""COMPUTED_VALUE"""),"Twelve Challenges Churches Face")</f>
        <v>Twelve Challenges Churches Face</v>
      </c>
      <c r="D20" s="4" t="str">
        <f ca="1">IFERROR(__xludf.DUMMYFUNCTION("""COMPUTED_VALUE"""),"9 Marks")</f>
        <v>9 Marks</v>
      </c>
      <c r="E20" s="12" t="str">
        <f ca="1">IFERROR(__xludf.DUMMYFUNCTION("""COMPUTED_VALUE"""),"Book")</f>
        <v>Book</v>
      </c>
      <c r="F20" s="12" t="str">
        <f ca="1">IFERROR(__xludf.DUMMYFUNCTION("""COMPUTED_VALUE"""),"Church")</f>
        <v>Church</v>
      </c>
      <c r="G20" s="12"/>
      <c r="H20" s="12" t="str">
        <f ca="1">IFERROR(__xludf.DUMMYFUNCTION("""COMPUTED_VALUE"""),"9 Marks")</f>
        <v>9 Marks</v>
      </c>
      <c r="I20" s="12"/>
      <c r="J20" s="12"/>
      <c r="K20" s="13">
        <f ca="1">IFERROR(__xludf.DUMMYFUNCTION("""COMPUTED_VALUE"""),42705)</f>
        <v>42705</v>
      </c>
      <c r="L20" s="12"/>
      <c r="M20" s="12"/>
      <c r="N20" s="12" t="str">
        <f ca="1">IFERROR(__xludf.DUMMYFUNCTION("""COMPUTED_VALUE"""),"Table1")</f>
        <v>Table1</v>
      </c>
    </row>
    <row r="21" spans="1:14" ht="15.75" customHeight="1" x14ac:dyDescent="0.35">
      <c r="A21" s="12" t="str">
        <f ca="1">IFERROR(__xludf.DUMMYFUNCTION("""COMPUTED_VALUE"""),"Dever, Mark")</f>
        <v>Dever, Mark</v>
      </c>
      <c r="B21" s="12" t="str">
        <f ca="1">IFERROR(__xludf.DUMMYFUNCTION("""COMPUTED_VALUE""")," Mark Dever")</f>
        <v xml:space="preserve"> Mark Dever</v>
      </c>
      <c r="C21" s="12" t="str">
        <f ca="1">IFERROR(__xludf.DUMMYFUNCTION("""COMPUTED_VALUE"""),"Understanding the Great Commission")</f>
        <v>Understanding the Great Commission</v>
      </c>
      <c r="D21" s="4" t="str">
        <f ca="1">IFERROR(__xludf.DUMMYFUNCTION("""COMPUTED_VALUE"""),"Church Basics")</f>
        <v>Church Basics</v>
      </c>
      <c r="E21" s="12" t="str">
        <f ca="1">IFERROR(__xludf.DUMMYFUNCTION("""COMPUTED_VALUE"""),"Book")</f>
        <v>Book</v>
      </c>
      <c r="F21" s="12" t="str">
        <f ca="1">IFERROR(__xludf.DUMMYFUNCTION("""COMPUTED_VALUE"""),"Church")</f>
        <v>Church</v>
      </c>
      <c r="G21" s="12"/>
      <c r="H21" s="12"/>
      <c r="I21" s="12"/>
      <c r="J21" s="12"/>
      <c r="K21" s="13">
        <f ca="1">IFERROR(__xludf.DUMMYFUNCTION("""COMPUTED_VALUE"""),43211)</f>
        <v>43211</v>
      </c>
      <c r="L21" s="12"/>
      <c r="M21" s="12"/>
      <c r="N21" s="12" t="str">
        <f ca="1">IFERROR(__xludf.DUMMYFUNCTION("""COMPUTED_VALUE"""),"Table1")</f>
        <v>Table1</v>
      </c>
    </row>
    <row r="22" spans="1:14" ht="15.75" customHeight="1" x14ac:dyDescent="0.35">
      <c r="A22" s="12" t="str">
        <f ca="1">IFERROR(__xludf.DUMMYFUNCTION("""COMPUTED_VALUE"""),"Dever, Mark")</f>
        <v>Dever, Mark</v>
      </c>
      <c r="B22" s="12" t="str">
        <f ca="1">IFERROR(__xludf.DUMMYFUNCTION("""COMPUTED_VALUE""")," Mark Dever")</f>
        <v xml:space="preserve"> Mark Dever</v>
      </c>
      <c r="C22" s="12" t="str">
        <f ca="1">IFERROR(__xludf.DUMMYFUNCTION("""COMPUTED_VALUE"""),"What Is a Healthy Church?")</f>
        <v>What Is a Healthy Church?</v>
      </c>
      <c r="D22" s="4" t="str">
        <f ca="1">IFERROR(__xludf.DUMMYFUNCTION("""COMPUTED_VALUE"""),"9 Marks")</f>
        <v>9 Marks</v>
      </c>
      <c r="E22" s="12" t="str">
        <f ca="1">IFERROR(__xludf.DUMMYFUNCTION("""COMPUTED_VALUE"""),"Book")</f>
        <v>Book</v>
      </c>
      <c r="F22" s="12" t="str">
        <f ca="1">IFERROR(__xludf.DUMMYFUNCTION("""COMPUTED_VALUE"""),"Church")</f>
        <v>Church</v>
      </c>
      <c r="G22" s="12"/>
      <c r="H22" s="12" t="str">
        <f ca="1">IFERROR(__xludf.DUMMYFUNCTION("""COMPUTED_VALUE"""),"9 Marks")</f>
        <v>9 Marks</v>
      </c>
      <c r="I22" s="12"/>
      <c r="J22" s="12"/>
      <c r="K22" s="13">
        <f ca="1">IFERROR(__xludf.DUMMYFUNCTION("""COMPUTED_VALUE"""),40034)</f>
        <v>40034</v>
      </c>
      <c r="L22" s="12"/>
      <c r="M22" s="12"/>
      <c r="N22" s="12" t="str">
        <f ca="1">IFERROR(__xludf.DUMMYFUNCTION("""COMPUTED_VALUE"""),"Table1")</f>
        <v>Table1</v>
      </c>
    </row>
    <row r="23" spans="1:14" ht="15.75" customHeight="1" x14ac:dyDescent="0.35">
      <c r="A23" s="12" t="str">
        <f ca="1">IFERROR(__xludf.DUMMYFUNCTION("""COMPUTED_VALUE"""),"DeYoung, Kevin")</f>
        <v>DeYoung, Kevin</v>
      </c>
      <c r="B23" s="12" t="str">
        <f ca="1">IFERROR(__xludf.DUMMYFUNCTION("""COMPUTED_VALUE""")," Kevin DeYoung")</f>
        <v xml:space="preserve"> Kevin DeYoung</v>
      </c>
      <c r="C23" s="12" t="str">
        <f ca="1">IFERROR(__xludf.DUMMYFUNCTION("""COMPUTED_VALUE"""),"Men and Women of the Church: A Short, Biblical, Practical Introduction")</f>
        <v>Men and Women of the Church: A Short, Biblical, Practical Introduction</v>
      </c>
      <c r="D23" s="4"/>
      <c r="E23" s="12" t="str">
        <f ca="1">IFERROR(__xludf.DUMMYFUNCTION("""COMPUTED_VALUE"""),"Book")</f>
        <v>Book</v>
      </c>
      <c r="F23" s="12" t="str">
        <f ca="1">IFERROR(__xludf.DUMMYFUNCTION("""COMPUTED_VALUE"""),"Theology")</f>
        <v>Theology</v>
      </c>
      <c r="G23" s="12"/>
      <c r="H23" s="12"/>
      <c r="I23" s="12"/>
      <c r="J23" s="12" t="str">
        <f ca="1">IFERROR(__xludf.DUMMYFUNCTION("""COMPUTED_VALUE"""),"Gender Roles")</f>
        <v>Gender Roles</v>
      </c>
      <c r="K23" s="13">
        <f ca="1">IFERROR(__xludf.DUMMYFUNCTION("""COMPUTED_VALUE"""),44423)</f>
        <v>44423</v>
      </c>
      <c r="L23" s="12"/>
      <c r="M23" s="12"/>
      <c r="N23" s="12" t="str">
        <f ca="1">IFERROR(__xludf.DUMMYFUNCTION("""COMPUTED_VALUE"""),"Table1")</f>
        <v>Table1</v>
      </c>
    </row>
    <row r="24" spans="1:14" ht="15.75" customHeight="1" x14ac:dyDescent="0.35">
      <c r="A24" s="12" t="str">
        <f ca="1">IFERROR(__xludf.DUMMYFUNCTION("""COMPUTED_VALUE"""),"DeYoung, Kevin; Kluck, Ted")</f>
        <v>DeYoung, Kevin; Kluck, Ted</v>
      </c>
      <c r="B24" s="12" t="str">
        <f ca="1">IFERROR(__xludf.DUMMYFUNCTION("""COMPUTED_VALUE""")," Kevin DeYoung; Ted Kluck")</f>
        <v xml:space="preserve"> Kevin DeYoung; Ted Kluck</v>
      </c>
      <c r="C24" s="12" t="str">
        <f ca="1">IFERROR(__xludf.DUMMYFUNCTION("""COMPUTED_VALUE"""),"Why We Love the Church")</f>
        <v>Why We Love the Church</v>
      </c>
      <c r="D24" s="4" t="str">
        <f ca="1">IFERROR(__xludf.DUMMYFUNCTION("""COMPUTED_VALUE"""),"Kluck")</f>
        <v>Kluck</v>
      </c>
      <c r="E24" s="12" t="str">
        <f ca="1">IFERROR(__xludf.DUMMYFUNCTION("""COMPUTED_VALUE"""),"Book")</f>
        <v>Book</v>
      </c>
      <c r="F24" s="12" t="str">
        <f ca="1">IFERROR(__xludf.DUMMYFUNCTION("""COMPUTED_VALUE"""),"Church")</f>
        <v>Church</v>
      </c>
      <c r="G24" s="12"/>
      <c r="H24" s="12"/>
      <c r="I24" s="12"/>
      <c r="J24" s="12"/>
      <c r="K24" s="13">
        <f ca="1">IFERROR(__xludf.DUMMYFUNCTION("""COMPUTED_VALUE"""),40431)</f>
        <v>40431</v>
      </c>
      <c r="L24" s="12"/>
      <c r="M24" s="12"/>
      <c r="N24" s="12" t="str">
        <f ca="1">IFERROR(__xludf.DUMMYFUNCTION("""COMPUTED_VALUE"""),"Table1")</f>
        <v>Table1</v>
      </c>
    </row>
    <row r="25" spans="1:14" ht="15.75" customHeight="1" x14ac:dyDescent="0.35">
      <c r="A25" s="12" t="str">
        <f ca="1">IFERROR(__xludf.DUMMYFUNCTION("""COMPUTED_VALUE"""),"Diprose, Ronald E.")</f>
        <v>Diprose, Ronald E.</v>
      </c>
      <c r="B25" s="12" t="str">
        <f ca="1">IFERROR(__xludf.DUMMYFUNCTION("""COMPUTED_VALUE""")," Ronald E. Diprose")</f>
        <v xml:space="preserve"> Ronald E. Diprose</v>
      </c>
      <c r="C25" s="12" t="str">
        <f ca="1">IFERROR(__xludf.DUMMYFUNCTION("""COMPUTED_VALUE"""),"Israel and the Church")</f>
        <v>Israel and the Church</v>
      </c>
      <c r="D25" s="4"/>
      <c r="E25" s="12" t="str">
        <f ca="1">IFERROR(__xludf.DUMMYFUNCTION("""COMPUTED_VALUE"""),"Book")</f>
        <v>Book</v>
      </c>
      <c r="F25" s="12" t="str">
        <f ca="1">IFERROR(__xludf.DUMMYFUNCTION("""COMPUTED_VALUE"""),"Theology")</f>
        <v>Theology</v>
      </c>
      <c r="G25" s="12"/>
      <c r="H25" s="12"/>
      <c r="I25" s="12"/>
      <c r="J25" s="12" t="str">
        <f ca="1">IFERROR(__xludf.DUMMYFUNCTION("""COMPUTED_VALUE"""),"Israel")</f>
        <v>Israel</v>
      </c>
      <c r="K25" s="13">
        <f ca="1">IFERROR(__xludf.DUMMYFUNCTION("""COMPUTED_VALUE"""),40034)</f>
        <v>40034</v>
      </c>
      <c r="L25" s="12"/>
      <c r="M25" s="12"/>
      <c r="N25" s="12" t="str">
        <f ca="1">IFERROR(__xludf.DUMMYFUNCTION("""COMPUTED_VALUE"""),"Table1")</f>
        <v>Table1</v>
      </c>
    </row>
    <row r="26" spans="1:14" ht="15.75" customHeight="1" x14ac:dyDescent="0.35">
      <c r="A26" s="12" t="str">
        <f ca="1">IFERROR(__xludf.DUMMYFUNCTION("""COMPUTED_VALUE"""),"Duncan, J. Ligon; Hunt, Susan")</f>
        <v>Duncan, J. Ligon; Hunt, Susan</v>
      </c>
      <c r="B26" s="12" t="str">
        <f ca="1">IFERROR(__xludf.DUMMYFUNCTION("""COMPUTED_VALUE""")," J. Ligon Duncan; Susan Hunt")</f>
        <v xml:space="preserve"> J. Ligon Duncan; Susan Hunt</v>
      </c>
      <c r="C26" s="12" t="str">
        <f ca="1">IFERROR(__xludf.DUMMYFUNCTION("""COMPUTED_VALUE"""),"Women's Ministry in the Local Church")</f>
        <v>Women's Ministry in the Local Church</v>
      </c>
      <c r="D26" s="4" t="str">
        <f ca="1">IFERROR(__xludf.DUMMYFUNCTION("""COMPUTED_VALUE"""),"Hunt")</f>
        <v>Hunt</v>
      </c>
      <c r="E26" s="12" t="str">
        <f ca="1">IFERROR(__xludf.DUMMYFUNCTION("""COMPUTED_VALUE"""),"Book")</f>
        <v>Book</v>
      </c>
      <c r="F26" s="12" t="str">
        <f ca="1">IFERROR(__xludf.DUMMYFUNCTION("""COMPUTED_VALUE"""),"Church")</f>
        <v>Church</v>
      </c>
      <c r="G26" s="12"/>
      <c r="H26" s="12"/>
      <c r="I26" s="12"/>
      <c r="J26" s="12" t="str">
        <f ca="1">IFERROR(__xludf.DUMMYFUNCTION("""COMPUTED_VALUE"""),"Christian Women")</f>
        <v>Christian Women</v>
      </c>
      <c r="K26" s="13">
        <f ca="1">IFERROR(__xludf.DUMMYFUNCTION("""COMPUTED_VALUE"""),40247)</f>
        <v>40247</v>
      </c>
      <c r="L26" s="12"/>
      <c r="M26" s="12"/>
      <c r="N26" s="12" t="str">
        <f ca="1">IFERROR(__xludf.DUMMYFUNCTION("""COMPUTED_VALUE"""),"Table1")</f>
        <v>Table1</v>
      </c>
    </row>
    <row r="27" spans="1:14" ht="15.75" customHeight="1" x14ac:dyDescent="0.35">
      <c r="A27" s="12" t="str">
        <f ca="1">IFERROR(__xludf.DUMMYFUNCTION("""COMPUTED_VALUE"""),"Ferguson, Sinclair B.")</f>
        <v>Ferguson, Sinclair B.</v>
      </c>
      <c r="B27" s="12" t="str">
        <f ca="1">IFERROR(__xludf.DUMMYFUNCTION("""COMPUTED_VALUE""")," Sinclair B. Ferguson")</f>
        <v xml:space="preserve"> Sinclair B. Ferguson</v>
      </c>
      <c r="C27" s="12" t="str">
        <f ca="1">IFERROR(__xludf.DUMMYFUNCTION("""COMPUTED_VALUE"""),"Devoted to God's Church: Core Values for Christian Fellowship")</f>
        <v>Devoted to God's Church: Core Values for Christian Fellowship</v>
      </c>
      <c r="D27" s="4"/>
      <c r="E27" s="12" t="str">
        <f ca="1">IFERROR(__xludf.DUMMYFUNCTION("""COMPUTED_VALUE"""),"Book")</f>
        <v>Book</v>
      </c>
      <c r="F27" s="12" t="str">
        <f ca="1">IFERROR(__xludf.DUMMYFUNCTION("""COMPUTED_VALUE"""),"Church")</f>
        <v>Church</v>
      </c>
      <c r="G27" s="12"/>
      <c r="H27" s="12"/>
      <c r="I27" s="12"/>
      <c r="J27" s="12" t="str">
        <f ca="1">IFERROR(__xludf.DUMMYFUNCTION("""COMPUTED_VALUE"""),"Fellowship")</f>
        <v>Fellowship</v>
      </c>
      <c r="K27" s="13">
        <f ca="1">IFERROR(__xludf.DUMMYFUNCTION("""COMPUTED_VALUE"""),44178)</f>
        <v>44178</v>
      </c>
      <c r="L27" s="12"/>
      <c r="M27" s="12"/>
      <c r="N27" s="12" t="str">
        <f ca="1">IFERROR(__xludf.DUMMYFUNCTION("""COMPUTED_VALUE"""),"Table1")</f>
        <v>Table1</v>
      </c>
    </row>
    <row r="28" spans="1:14" ht="15.75" customHeight="1" x14ac:dyDescent="0.35">
      <c r="A28" s="12" t="str">
        <f ca="1">IFERROR(__xludf.DUMMYFUNCTION("""COMPUTED_VALUE"""),"George, Timothy")</f>
        <v>George, Timothy</v>
      </c>
      <c r="B28" s="12" t="str">
        <f ca="1">IFERROR(__xludf.DUMMYFUNCTION("""COMPUTED_VALUE""")," Timothy George")</f>
        <v xml:space="preserve"> Timothy George</v>
      </c>
      <c r="C28" s="12" t="str">
        <f ca="1">IFERROR(__xludf.DUMMYFUNCTION("""COMPUTED_VALUE"""),"Theology of the Reformers")</f>
        <v>Theology of the Reformers</v>
      </c>
      <c r="D28" s="4"/>
      <c r="E28" s="12" t="str">
        <f ca="1">IFERROR(__xludf.DUMMYFUNCTION("""COMPUTED_VALUE"""),"Book")</f>
        <v>Book</v>
      </c>
      <c r="F28" s="12" t="str">
        <f ca="1">IFERROR(__xludf.DUMMYFUNCTION("""COMPUTED_VALUE"""),"Church History")</f>
        <v>Church History</v>
      </c>
      <c r="G28" s="12"/>
      <c r="H28" s="12"/>
      <c r="I28" s="12"/>
      <c r="J28" s="12" t="str">
        <f ca="1">IFERROR(__xludf.DUMMYFUNCTION("""COMPUTED_VALUE"""),"History")</f>
        <v>History</v>
      </c>
      <c r="K28" s="13">
        <f ca="1">IFERROR(__xludf.DUMMYFUNCTION("""COMPUTED_VALUE"""),40034)</f>
        <v>40034</v>
      </c>
      <c r="L28" s="12"/>
      <c r="M28" s="12"/>
      <c r="N28" s="12" t="str">
        <f ca="1">IFERROR(__xludf.DUMMYFUNCTION("""COMPUTED_VALUE"""),"Table1")</f>
        <v>Table1</v>
      </c>
    </row>
    <row r="29" spans="1:14" ht="15.75" customHeight="1" x14ac:dyDescent="0.35">
      <c r="A29" s="12" t="str">
        <f ca="1">IFERROR(__xludf.DUMMYFUNCTION("""COMPUTED_VALUE"""),"Getz, Gene A.")</f>
        <v>Getz, Gene A.</v>
      </c>
      <c r="B29" s="12" t="str">
        <f ca="1">IFERROR(__xludf.DUMMYFUNCTION("""COMPUTED_VALUE""")," Gene A. Getz")</f>
        <v xml:space="preserve"> Gene A. Getz</v>
      </c>
      <c r="C29" s="12" t="str">
        <f ca="1">IFERROR(__xludf.DUMMYFUNCTION("""COMPUTED_VALUE"""),"Elders and Leaders")</f>
        <v>Elders and Leaders</v>
      </c>
      <c r="D29" s="4"/>
      <c r="E29" s="12" t="str">
        <f ca="1">IFERROR(__xludf.DUMMYFUNCTION("""COMPUTED_VALUE"""),"Book")</f>
        <v>Book</v>
      </c>
      <c r="F29" s="12" t="str">
        <f ca="1">IFERROR(__xludf.DUMMYFUNCTION("""COMPUTED_VALUE"""),"Church")</f>
        <v>Church</v>
      </c>
      <c r="G29" s="12"/>
      <c r="H29" s="12"/>
      <c r="I29" s="12"/>
      <c r="J29" s="12" t="str">
        <f ca="1">IFERROR(__xludf.DUMMYFUNCTION("""COMPUTED_VALUE"""),"Church Leaders")</f>
        <v>Church Leaders</v>
      </c>
      <c r="K29" s="13">
        <f ca="1">IFERROR(__xludf.DUMMYFUNCTION("""COMPUTED_VALUE"""),40034)</f>
        <v>40034</v>
      </c>
      <c r="L29" s="12"/>
      <c r="M29" s="12"/>
      <c r="N29" s="12" t="str">
        <f ca="1">IFERROR(__xludf.DUMMYFUNCTION("""COMPUTED_VALUE"""),"Table1")</f>
        <v>Table1</v>
      </c>
    </row>
    <row r="30" spans="1:14" ht="15.75" customHeight="1" x14ac:dyDescent="0.35">
      <c r="A30" s="12" t="str">
        <f ca="1">IFERROR(__xludf.DUMMYFUNCTION("""COMPUTED_VALUE"""),"Gilley, Gary E. ")</f>
        <v xml:space="preserve">Gilley, Gary E. </v>
      </c>
      <c r="B30" s="12" t="str">
        <f ca="1">IFERROR(__xludf.DUMMYFUNCTION("""COMPUTED_VALUE""")," Gary E.  Gilley")</f>
        <v xml:space="preserve"> Gary E.  Gilley</v>
      </c>
      <c r="C30" s="12" t="str">
        <f ca="1">IFERROR(__xludf.DUMMYFUNCTION("""COMPUTED_VALUE"""),"This Little Church Stayed Home: A Faithful Church in Deceptive Times")</f>
        <v>This Little Church Stayed Home: A Faithful Church in Deceptive Times</v>
      </c>
      <c r="D30" s="4"/>
      <c r="E30" s="12" t="str">
        <f ca="1">IFERROR(__xludf.DUMMYFUNCTION("""COMPUTED_VALUE"""),"Book")</f>
        <v>Book</v>
      </c>
      <c r="F30" s="12" t="str">
        <f ca="1">IFERROR(__xludf.DUMMYFUNCTION("""COMPUTED_VALUE"""),"Church")</f>
        <v>Church</v>
      </c>
      <c r="G30" s="12"/>
      <c r="H30" s="12"/>
      <c r="I30" s="12"/>
      <c r="J30" s="12"/>
      <c r="K30" s="13">
        <f ca="1">IFERROR(__xludf.DUMMYFUNCTION("""COMPUTED_VALUE"""),40034)</f>
        <v>40034</v>
      </c>
      <c r="L30" s="12"/>
      <c r="M30" s="12"/>
      <c r="N30" s="12" t="str">
        <f ca="1">IFERROR(__xludf.DUMMYFUNCTION("""COMPUTED_VALUE"""),"Table1")</f>
        <v>Table1</v>
      </c>
    </row>
    <row r="31" spans="1:14" ht="15.75" customHeight="1" x14ac:dyDescent="0.35">
      <c r="A31" s="12" t="str">
        <f ca="1">IFERROR(__xludf.DUMMYFUNCTION("""COMPUTED_VALUE"""),"Gilley, Gary E. ")</f>
        <v xml:space="preserve">Gilley, Gary E. </v>
      </c>
      <c r="B31" s="12" t="str">
        <f ca="1">IFERROR(__xludf.DUMMYFUNCTION("""COMPUTED_VALUE""")," Gary E.  Gilley")</f>
        <v xml:space="preserve"> Gary E.  Gilley</v>
      </c>
      <c r="C31" s="12" t="str">
        <f ca="1">IFERROR(__xludf.DUMMYFUNCTION("""COMPUTED_VALUE"""),"This Little Church Went to Market: The Church in the Age of Entertainment")</f>
        <v>This Little Church Went to Market: The Church in the Age of Entertainment</v>
      </c>
      <c r="D31" s="4"/>
      <c r="E31" s="12" t="str">
        <f ca="1">IFERROR(__xludf.DUMMYFUNCTION("""COMPUTED_VALUE"""),"Book")</f>
        <v>Book</v>
      </c>
      <c r="F31" s="12" t="str">
        <f ca="1">IFERROR(__xludf.DUMMYFUNCTION("""COMPUTED_VALUE"""),"Church")</f>
        <v>Church</v>
      </c>
      <c r="G31" s="12"/>
      <c r="H31" s="12"/>
      <c r="I31" s="12"/>
      <c r="J31" s="12" t="str">
        <f ca="1">IFERROR(__xludf.DUMMYFUNCTION("""COMPUTED_VALUE"""),"Entertainment")</f>
        <v>Entertainment</v>
      </c>
      <c r="K31" s="13">
        <f ca="1">IFERROR(__xludf.DUMMYFUNCTION("""COMPUTED_VALUE"""),40034)</f>
        <v>40034</v>
      </c>
      <c r="L31" s="12"/>
      <c r="M31" s="12"/>
      <c r="N31" s="12" t="str">
        <f ca="1">IFERROR(__xludf.DUMMYFUNCTION("""COMPUTED_VALUE"""),"Table1")</f>
        <v>Table1</v>
      </c>
    </row>
    <row r="32" spans="1:14" ht="15.75" customHeight="1" x14ac:dyDescent="0.35">
      <c r="A32" s="12" t="str">
        <f ca="1">IFERROR(__xludf.DUMMYFUNCTION("""COMPUTED_VALUE"""),"Gordon, T. David")</f>
        <v>Gordon, T. David</v>
      </c>
      <c r="B32" s="12" t="str">
        <f ca="1">IFERROR(__xludf.DUMMYFUNCTION("""COMPUTED_VALUE""")," T. David Gordon")</f>
        <v xml:space="preserve"> T. David Gordon</v>
      </c>
      <c r="C32" s="12" t="str">
        <f ca="1">IFERROR(__xludf.DUMMYFUNCTION("""COMPUTED_VALUE"""),"Why Johnny Can't Preach: The Media Have Shaped the Messengers")</f>
        <v>Why Johnny Can't Preach: The Media Have Shaped the Messengers</v>
      </c>
      <c r="D32" s="4"/>
      <c r="E32" s="12" t="str">
        <f ca="1">IFERROR(__xludf.DUMMYFUNCTION("""COMPUTED_VALUE"""),"Book")</f>
        <v>Book</v>
      </c>
      <c r="F32" s="12" t="str">
        <f ca="1">IFERROR(__xludf.DUMMYFUNCTION("""COMPUTED_VALUE"""),"Worldview")</f>
        <v>Worldview</v>
      </c>
      <c r="G32" s="12"/>
      <c r="H32" s="12"/>
      <c r="I32" s="12"/>
      <c r="J32" s="12" t="str">
        <f ca="1">IFERROR(__xludf.DUMMYFUNCTION("""COMPUTED_VALUE"""),"Church Leaders")</f>
        <v>Church Leaders</v>
      </c>
      <c r="K32" s="13">
        <f ca="1">IFERROR(__xludf.DUMMYFUNCTION("""COMPUTED_VALUE"""),40247)</f>
        <v>40247</v>
      </c>
      <c r="L32" s="12"/>
      <c r="M32" s="12"/>
      <c r="N32" s="12" t="str">
        <f ca="1">IFERROR(__xludf.DUMMYFUNCTION("""COMPUTED_VALUE"""),"Table1")</f>
        <v>Table1</v>
      </c>
    </row>
    <row r="33" spans="1:14" ht="15.75" customHeight="1" x14ac:dyDescent="0.35">
      <c r="A33" s="12" t="str">
        <f ca="1">IFERROR(__xludf.DUMMYFUNCTION("""COMPUTED_VALUE"""),"Jamieson, Bobby")</f>
        <v>Jamieson, Bobby</v>
      </c>
      <c r="B33" s="12" t="str">
        <f ca="1">IFERROR(__xludf.DUMMYFUNCTION("""COMPUTED_VALUE""")," Bobby Jamieson")</f>
        <v xml:space="preserve"> Bobby Jamieson</v>
      </c>
      <c r="C33" s="12" t="str">
        <f ca="1">IFERROR(__xludf.DUMMYFUNCTION("""COMPUTED_VALUE"""),"Going Public: Why Baptism is Required for Membership")</f>
        <v>Going Public: Why Baptism is Required for Membership</v>
      </c>
      <c r="D33" s="4" t="str">
        <f ca="1">IFERROR(__xludf.DUMMYFUNCTION("""COMPUTED_VALUE"""),"9 Marks")</f>
        <v>9 Marks</v>
      </c>
      <c r="E33" s="12" t="str">
        <f ca="1">IFERROR(__xludf.DUMMYFUNCTION("""COMPUTED_VALUE"""),"Book")</f>
        <v>Book</v>
      </c>
      <c r="F33" s="12" t="str">
        <f ca="1">IFERROR(__xludf.DUMMYFUNCTION("""COMPUTED_VALUE"""),"Church")</f>
        <v>Church</v>
      </c>
      <c r="G33" s="12"/>
      <c r="H33" s="12"/>
      <c r="I33" s="12" t="str">
        <f ca="1">IFERROR(__xludf.DUMMYFUNCTION("""COMPUTED_VALUE"""),"9 Marks?")</f>
        <v>9 Marks?</v>
      </c>
      <c r="J33" s="12" t="str">
        <f ca="1">IFERROR(__xludf.DUMMYFUNCTION("""COMPUTED_VALUE"""),"Baptism, Church Membership")</f>
        <v>Baptism, Church Membership</v>
      </c>
      <c r="K33" s="13">
        <f ca="1">IFERROR(__xludf.DUMMYFUNCTION("""COMPUTED_VALUE"""),43211)</f>
        <v>43211</v>
      </c>
      <c r="L33" s="12"/>
      <c r="M33" s="12"/>
      <c r="N33" s="12" t="str">
        <f ca="1">IFERROR(__xludf.DUMMYFUNCTION("""COMPUTED_VALUE"""),"Table1")</f>
        <v>Table1</v>
      </c>
    </row>
    <row r="34" spans="1:14" ht="15.75" customHeight="1" x14ac:dyDescent="0.35">
      <c r="A34" s="12" t="str">
        <f ca="1">IFERROR(__xludf.DUMMYFUNCTION("""COMPUTED_VALUE"""),"Jamieson, Bobby")</f>
        <v>Jamieson, Bobby</v>
      </c>
      <c r="B34" s="12" t="str">
        <f ca="1">IFERROR(__xludf.DUMMYFUNCTION("""COMPUTED_VALUE""")," Bobby Jamieson")</f>
        <v xml:space="preserve"> Bobby Jamieson</v>
      </c>
      <c r="C34" s="12" t="str">
        <f ca="1">IFERROR(__xludf.DUMMYFUNCTION("""COMPUTED_VALUE"""),"Sound Doctrine")</f>
        <v>Sound Doctrine</v>
      </c>
      <c r="D34" s="4" t="str">
        <f ca="1">IFERROR(__xludf.DUMMYFUNCTION("""COMPUTED_VALUE"""),"9 Marks")</f>
        <v>9 Marks</v>
      </c>
      <c r="E34" s="12" t="str">
        <f ca="1">IFERROR(__xludf.DUMMYFUNCTION("""COMPUTED_VALUE"""),"Book")</f>
        <v>Book</v>
      </c>
      <c r="F34" s="12" t="str">
        <f ca="1">IFERROR(__xludf.DUMMYFUNCTION("""COMPUTED_VALUE"""),"Church")</f>
        <v>Church</v>
      </c>
      <c r="G34" s="12"/>
      <c r="H34" s="12" t="str">
        <f ca="1">IFERROR(__xludf.DUMMYFUNCTION("""COMPUTED_VALUE"""),"9 Marks")</f>
        <v>9 Marks</v>
      </c>
      <c r="I34" s="12"/>
      <c r="J34" s="12"/>
      <c r="K34" s="13">
        <f ca="1">IFERROR(__xludf.DUMMYFUNCTION("""COMPUTED_VALUE"""),41468)</f>
        <v>41468</v>
      </c>
      <c r="L34" s="12"/>
      <c r="M34" s="12"/>
      <c r="N34" s="12" t="str">
        <f ca="1">IFERROR(__xludf.DUMMYFUNCTION("""COMPUTED_VALUE"""),"Table1")</f>
        <v>Table1</v>
      </c>
    </row>
    <row r="35" spans="1:14" ht="15.75" customHeight="1" x14ac:dyDescent="0.35">
      <c r="A35" s="12" t="str">
        <f ca="1">IFERROR(__xludf.DUMMYFUNCTION("""COMPUTED_VALUE"""),"Jamieson, Bobby")</f>
        <v>Jamieson, Bobby</v>
      </c>
      <c r="B35" s="12" t="str">
        <f ca="1">IFERROR(__xludf.DUMMYFUNCTION("""COMPUTED_VALUE""")," Bobby Jamieson")</f>
        <v xml:space="preserve"> Bobby Jamieson</v>
      </c>
      <c r="C35" s="12" t="str">
        <f ca="1">IFERROR(__xludf.DUMMYFUNCTION("""COMPUTED_VALUE"""),"Understanding Baptism")</f>
        <v>Understanding Baptism</v>
      </c>
      <c r="D35" s="4" t="str">
        <f ca="1">IFERROR(__xludf.DUMMYFUNCTION("""COMPUTED_VALUE"""),"Church Basics")</f>
        <v>Church Basics</v>
      </c>
      <c r="E35" s="12" t="str">
        <f ca="1">IFERROR(__xludf.DUMMYFUNCTION("""COMPUTED_VALUE"""),"Book")</f>
        <v>Book</v>
      </c>
      <c r="F35" s="12" t="str">
        <f ca="1">IFERROR(__xludf.DUMMYFUNCTION("""COMPUTED_VALUE"""),"Church")</f>
        <v>Church</v>
      </c>
      <c r="G35" s="12"/>
      <c r="H35" s="12"/>
      <c r="I35" s="12"/>
      <c r="J35" s="12" t="str">
        <f ca="1">IFERROR(__xludf.DUMMYFUNCTION("""COMPUTED_VALUE"""),"Baptism")</f>
        <v>Baptism</v>
      </c>
      <c r="K35" s="13">
        <f ca="1">IFERROR(__xludf.DUMMYFUNCTION("""COMPUTED_VALUE"""),43211)</f>
        <v>43211</v>
      </c>
      <c r="L35" s="12"/>
      <c r="M35" s="12"/>
      <c r="N35" s="12" t="str">
        <f ca="1">IFERROR(__xludf.DUMMYFUNCTION("""COMPUTED_VALUE"""),"Table1")</f>
        <v>Table1</v>
      </c>
    </row>
    <row r="36" spans="1:14" ht="15.75" customHeight="1" x14ac:dyDescent="0.35">
      <c r="A36" s="12" t="str">
        <f ca="1">IFERROR(__xludf.DUMMYFUNCTION("""COMPUTED_VALUE"""),"Jamieson, Bobby")</f>
        <v>Jamieson, Bobby</v>
      </c>
      <c r="B36" s="12" t="str">
        <f ca="1">IFERROR(__xludf.DUMMYFUNCTION("""COMPUTED_VALUE""")," Bobby Jamieson")</f>
        <v xml:space="preserve"> Bobby Jamieson</v>
      </c>
      <c r="C36" s="12" t="str">
        <f ca="1">IFERROR(__xludf.DUMMYFUNCTION("""COMPUTED_VALUE"""),"Understanding the Lord's Supper")</f>
        <v>Understanding the Lord's Supper</v>
      </c>
      <c r="D36" s="4" t="str">
        <f ca="1">IFERROR(__xludf.DUMMYFUNCTION("""COMPUTED_VALUE"""),"Church Basics")</f>
        <v>Church Basics</v>
      </c>
      <c r="E36" s="12" t="str">
        <f ca="1">IFERROR(__xludf.DUMMYFUNCTION("""COMPUTED_VALUE"""),"Book")</f>
        <v>Book</v>
      </c>
      <c r="F36" s="12" t="str">
        <f ca="1">IFERROR(__xludf.DUMMYFUNCTION("""COMPUTED_VALUE"""),"Church")</f>
        <v>Church</v>
      </c>
      <c r="G36" s="12"/>
      <c r="H36" s="12"/>
      <c r="I36" s="12"/>
      <c r="J36" s="12" t="str">
        <f ca="1">IFERROR(__xludf.DUMMYFUNCTION("""COMPUTED_VALUE"""),"Communion")</f>
        <v>Communion</v>
      </c>
      <c r="K36" s="13">
        <f ca="1">IFERROR(__xludf.DUMMYFUNCTION("""COMPUTED_VALUE"""),43211)</f>
        <v>43211</v>
      </c>
      <c r="L36" s="12"/>
      <c r="M36" s="12"/>
      <c r="N36" s="12" t="str">
        <f ca="1">IFERROR(__xludf.DUMMYFUNCTION("""COMPUTED_VALUE"""),"Table1")</f>
        <v>Table1</v>
      </c>
    </row>
    <row r="37" spans="1:14" ht="15.75" customHeight="1" x14ac:dyDescent="0.35">
      <c r="A37" s="12" t="str">
        <f ca="1">IFERROR(__xludf.DUMMYFUNCTION("""COMPUTED_VALUE"""),"Jeffrey, Peter")</f>
        <v>Jeffrey, Peter</v>
      </c>
      <c r="B37" s="12" t="str">
        <f ca="1">IFERROR(__xludf.DUMMYFUNCTION("""COMPUTED_VALUE""")," Peter Jeffrey")</f>
        <v xml:space="preserve"> Peter Jeffrey</v>
      </c>
      <c r="C37" s="12" t="str">
        <f ca="1">IFERROR(__xludf.DUMMYFUNCTION("""COMPUTED_VALUE"""),"Evangelicals Then and Now")</f>
        <v>Evangelicals Then and Now</v>
      </c>
      <c r="D37" s="4"/>
      <c r="E37" s="12" t="str">
        <f ca="1">IFERROR(__xludf.DUMMYFUNCTION("""COMPUTED_VALUE"""),"Book")</f>
        <v>Book</v>
      </c>
      <c r="F37" s="12" t="str">
        <f ca="1">IFERROR(__xludf.DUMMYFUNCTION("""COMPUTED_VALUE"""),"Church History")</f>
        <v>Church History</v>
      </c>
      <c r="G37" s="12"/>
      <c r="H37" s="12"/>
      <c r="I37" s="12"/>
      <c r="J37" s="12" t="str">
        <f ca="1">IFERROR(__xludf.DUMMYFUNCTION("""COMPUTED_VALUE"""),"History")</f>
        <v>History</v>
      </c>
      <c r="K37" s="13">
        <f ca="1">IFERROR(__xludf.DUMMYFUNCTION("""COMPUTED_VALUE"""),40034)</f>
        <v>40034</v>
      </c>
      <c r="L37" s="12"/>
      <c r="M37" s="12"/>
      <c r="N37" s="12" t="str">
        <f ca="1">IFERROR(__xludf.DUMMYFUNCTION("""COMPUTED_VALUE"""),"Table1")</f>
        <v>Table1</v>
      </c>
    </row>
    <row r="38" spans="1:14" ht="15.75" customHeight="1" x14ac:dyDescent="0.35">
      <c r="A38" s="12" t="str">
        <f ca="1">IFERROR(__xludf.DUMMYFUNCTION("""COMPUTED_VALUE"""),"Lawrence, Michael")</f>
        <v>Lawrence, Michael</v>
      </c>
      <c r="B38" s="12" t="str">
        <f ca="1">IFERROR(__xludf.DUMMYFUNCTION("""COMPUTED_VALUE""")," Michael Lawrence")</f>
        <v xml:space="preserve"> Michael Lawrence</v>
      </c>
      <c r="C38" s="12" t="str">
        <f ca="1">IFERROR(__xludf.DUMMYFUNCTION("""COMPUTED_VALUE"""),"Conversion")</f>
        <v>Conversion</v>
      </c>
      <c r="D38" s="4" t="str">
        <f ca="1">IFERROR(__xludf.DUMMYFUNCTION("""COMPUTED_VALUE"""),"9 Marks")</f>
        <v>9 Marks</v>
      </c>
      <c r="E38" s="12" t="str">
        <f ca="1">IFERROR(__xludf.DUMMYFUNCTION("""COMPUTED_VALUE"""),"Book")</f>
        <v>Book</v>
      </c>
      <c r="F38" s="12" t="str">
        <f ca="1">IFERROR(__xludf.DUMMYFUNCTION("""COMPUTED_VALUE"""),"Church")</f>
        <v>Church</v>
      </c>
      <c r="G38" s="12"/>
      <c r="H38" s="12" t="str">
        <f ca="1">IFERROR(__xludf.DUMMYFUNCTION("""COMPUTED_VALUE"""),"9 Marks")</f>
        <v>9 Marks</v>
      </c>
      <c r="I38" s="12"/>
      <c r="J38" s="12"/>
      <c r="K38" s="13">
        <f ca="1">IFERROR(__xludf.DUMMYFUNCTION("""COMPUTED_VALUE"""),43046)</f>
        <v>43046</v>
      </c>
      <c r="L38" s="12"/>
      <c r="M38" s="12"/>
      <c r="N38" s="12" t="str">
        <f ca="1">IFERROR(__xludf.DUMMYFUNCTION("""COMPUTED_VALUE"""),"Table1")</f>
        <v>Table1</v>
      </c>
    </row>
    <row r="39" spans="1:14" ht="15.75" customHeight="1" x14ac:dyDescent="0.35">
      <c r="A39" s="12" t="str">
        <f ca="1">IFERROR(__xludf.DUMMYFUNCTION("""COMPUTED_VALUE"""),"Leeman, Jonathan")</f>
        <v>Leeman, Jonathan</v>
      </c>
      <c r="B39" s="12" t="str">
        <f ca="1">IFERROR(__xludf.DUMMYFUNCTION("""COMPUTED_VALUE""")," Jonathan Leeman")</f>
        <v xml:space="preserve"> Jonathan Leeman</v>
      </c>
      <c r="C39" s="12" t="str">
        <f ca="1">IFERROR(__xludf.DUMMYFUNCTION("""COMPUTED_VALUE"""),"The Church and the Surprising Offense of God's Love")</f>
        <v>The Church and the Surprising Offense of God's Love</v>
      </c>
      <c r="D39" s="4" t="str">
        <f ca="1">IFERROR(__xludf.DUMMYFUNCTION("""COMPUTED_VALUE"""),"9 Marks")</f>
        <v>9 Marks</v>
      </c>
      <c r="E39" s="12" t="str">
        <f ca="1">IFERROR(__xludf.DUMMYFUNCTION("""COMPUTED_VALUE"""),"Book")</f>
        <v>Book</v>
      </c>
      <c r="F39" s="12" t="str">
        <f ca="1">IFERROR(__xludf.DUMMYFUNCTION("""COMPUTED_VALUE"""),"Church")</f>
        <v>Church</v>
      </c>
      <c r="G39" s="12"/>
      <c r="H39" s="12" t="str">
        <f ca="1">IFERROR(__xludf.DUMMYFUNCTION("""COMPUTED_VALUE"""),"9 Marks")</f>
        <v>9 Marks</v>
      </c>
      <c r="I39" s="12"/>
      <c r="J39" s="12"/>
      <c r="K39" s="13">
        <f ca="1">IFERROR(__xludf.DUMMYFUNCTION("""COMPUTED_VALUE"""),40705)</f>
        <v>40705</v>
      </c>
      <c r="L39" s="12"/>
      <c r="M39" s="12"/>
      <c r="N39" s="12" t="str">
        <f ca="1">IFERROR(__xludf.DUMMYFUNCTION("""COMPUTED_VALUE"""),"Table1")</f>
        <v>Table1</v>
      </c>
    </row>
    <row r="40" spans="1:14" ht="15.75" customHeight="1" x14ac:dyDescent="0.35">
      <c r="A40" s="12" t="str">
        <f ca="1">IFERROR(__xludf.DUMMYFUNCTION("""COMPUTED_VALUE"""),"Leeman, Jonathan")</f>
        <v>Leeman, Jonathan</v>
      </c>
      <c r="B40" s="12" t="str">
        <f ca="1">IFERROR(__xludf.DUMMYFUNCTION("""COMPUTED_VALUE""")," Jonathan Leeman")</f>
        <v xml:space="preserve"> Jonathan Leeman</v>
      </c>
      <c r="C40" s="12" t="str">
        <f ca="1">IFERROR(__xludf.DUMMYFUNCTION("""COMPUTED_VALUE"""),"Church Discipline")</f>
        <v>Church Discipline</v>
      </c>
      <c r="D40" s="4" t="str">
        <f ca="1">IFERROR(__xludf.DUMMYFUNCTION("""COMPUTED_VALUE"""),"9 Marks")</f>
        <v>9 Marks</v>
      </c>
      <c r="E40" s="12" t="str">
        <f ca="1">IFERROR(__xludf.DUMMYFUNCTION("""COMPUTED_VALUE"""),"Book")</f>
        <v>Book</v>
      </c>
      <c r="F40" s="12" t="str">
        <f ca="1">IFERROR(__xludf.DUMMYFUNCTION("""COMPUTED_VALUE"""),"Church")</f>
        <v>Church</v>
      </c>
      <c r="G40" s="12"/>
      <c r="H40" s="12" t="str">
        <f ca="1">IFERROR(__xludf.DUMMYFUNCTION("""COMPUTED_VALUE"""),"9 Marks")</f>
        <v>9 Marks</v>
      </c>
      <c r="I40" s="12"/>
      <c r="J40" s="12" t="str">
        <f ca="1">IFERROR(__xludf.DUMMYFUNCTION("""COMPUTED_VALUE"""),"Church Discipline")</f>
        <v>Church Discipline</v>
      </c>
      <c r="K40" s="13">
        <f ca="1">IFERROR(__xludf.DUMMYFUNCTION("""COMPUTED_VALUE"""),41041)</f>
        <v>41041</v>
      </c>
      <c r="L40" s="12"/>
      <c r="M40" s="12"/>
      <c r="N40" s="12" t="str">
        <f ca="1">IFERROR(__xludf.DUMMYFUNCTION("""COMPUTED_VALUE"""),"Table1")</f>
        <v>Table1</v>
      </c>
    </row>
    <row r="41" spans="1:14" ht="15.75" customHeight="1" x14ac:dyDescent="0.35">
      <c r="A41" s="12" t="str">
        <f ca="1">IFERROR(__xludf.DUMMYFUNCTION("""COMPUTED_VALUE"""),"Leeman, Jonathan")</f>
        <v>Leeman, Jonathan</v>
      </c>
      <c r="B41" s="12" t="str">
        <f ca="1">IFERROR(__xludf.DUMMYFUNCTION("""COMPUTED_VALUE""")," Jonathan Leeman")</f>
        <v xml:space="preserve"> Jonathan Leeman</v>
      </c>
      <c r="C41" s="12" t="str">
        <f ca="1">IFERROR(__xludf.DUMMYFUNCTION("""COMPUTED_VALUE"""),"Church Membership")</f>
        <v>Church Membership</v>
      </c>
      <c r="D41" s="4" t="str">
        <f ca="1">IFERROR(__xludf.DUMMYFUNCTION("""COMPUTED_VALUE"""),"9 Marks")</f>
        <v>9 Marks</v>
      </c>
      <c r="E41" s="12" t="str">
        <f ca="1">IFERROR(__xludf.DUMMYFUNCTION("""COMPUTED_VALUE"""),"Book")</f>
        <v>Book</v>
      </c>
      <c r="F41" s="12" t="str">
        <f ca="1">IFERROR(__xludf.DUMMYFUNCTION("""COMPUTED_VALUE"""),"Church")</f>
        <v>Church</v>
      </c>
      <c r="G41" s="12"/>
      <c r="H41" s="12" t="str">
        <f ca="1">IFERROR(__xludf.DUMMYFUNCTION("""COMPUTED_VALUE"""),"9 Marks")</f>
        <v>9 Marks</v>
      </c>
      <c r="I41" s="12"/>
      <c r="J41" s="12" t="str">
        <f ca="1">IFERROR(__xludf.DUMMYFUNCTION("""COMPUTED_VALUE"""),"Church Membership")</f>
        <v>Church Membership</v>
      </c>
      <c r="K41" s="13">
        <f ca="1">IFERROR(__xludf.DUMMYFUNCTION("""COMPUTED_VALUE"""),41041)</f>
        <v>41041</v>
      </c>
      <c r="L41" s="12"/>
      <c r="M41" s="12"/>
      <c r="N41" s="12" t="str">
        <f ca="1">IFERROR(__xludf.DUMMYFUNCTION("""COMPUTED_VALUE"""),"Table1")</f>
        <v>Table1</v>
      </c>
    </row>
    <row r="42" spans="1:14" ht="15.75" customHeight="1" x14ac:dyDescent="0.35">
      <c r="A42" s="12" t="str">
        <f ca="1">IFERROR(__xludf.DUMMYFUNCTION("""COMPUTED_VALUE"""),"Leeman, Jonathan")</f>
        <v>Leeman, Jonathan</v>
      </c>
      <c r="B42" s="12" t="str">
        <f ca="1">IFERROR(__xludf.DUMMYFUNCTION("""COMPUTED_VALUE""")," Jonathan Leeman")</f>
        <v xml:space="preserve"> Jonathan Leeman</v>
      </c>
      <c r="C42" s="12" t="str">
        <f ca="1">IFERROR(__xludf.DUMMYFUNCTION("""COMPUTED_VALUE"""),"The Rule of Love: How the Local Church Should Reflect God's Love and Authority")</f>
        <v>The Rule of Love: How the Local Church Should Reflect God's Love and Authority</v>
      </c>
      <c r="D42" s="4" t="str">
        <f ca="1">IFERROR(__xludf.DUMMYFUNCTION("""COMPUTED_VALUE"""),"9 Marks")</f>
        <v>9 Marks</v>
      </c>
      <c r="E42" s="12" t="str">
        <f ca="1">IFERROR(__xludf.DUMMYFUNCTION("""COMPUTED_VALUE"""),"Book")</f>
        <v>Book</v>
      </c>
      <c r="F42" s="12" t="str">
        <f ca="1">IFERROR(__xludf.DUMMYFUNCTION("""COMPUTED_VALUE"""),"Church")</f>
        <v>Church</v>
      </c>
      <c r="G42" s="12"/>
      <c r="H42" s="12" t="str">
        <f ca="1">IFERROR(__xludf.DUMMYFUNCTION("""COMPUTED_VALUE"""),"9 Marks")</f>
        <v>9 Marks</v>
      </c>
      <c r="I42" s="12"/>
      <c r="J42" s="12"/>
      <c r="K42" s="13"/>
      <c r="L42" s="12"/>
      <c r="M42" s="12"/>
      <c r="N42" s="12" t="str">
        <f ca="1">IFERROR(__xludf.DUMMYFUNCTION("""COMPUTED_VALUE"""),"Table1")</f>
        <v>Table1</v>
      </c>
    </row>
    <row r="43" spans="1:14" ht="15.75" customHeight="1" x14ac:dyDescent="0.35">
      <c r="A43" s="12" t="str">
        <f ca="1">IFERROR(__xludf.DUMMYFUNCTION("""COMPUTED_VALUE"""),"Leeman, Jonathan")</f>
        <v>Leeman, Jonathan</v>
      </c>
      <c r="B43" s="12" t="str">
        <f ca="1">IFERROR(__xludf.DUMMYFUNCTION("""COMPUTED_VALUE""")," Jonathan Leeman")</f>
        <v xml:space="preserve"> Jonathan Leeman</v>
      </c>
      <c r="C43" s="12" t="str">
        <f ca="1">IFERROR(__xludf.DUMMYFUNCTION("""COMPUTED_VALUE"""),"Word Centered Church")</f>
        <v>Word Centered Church</v>
      </c>
      <c r="D43" s="4" t="str">
        <f ca="1">IFERROR(__xludf.DUMMYFUNCTION("""COMPUTED_VALUE"""),"9 Marks")</f>
        <v>9 Marks</v>
      </c>
      <c r="E43" s="12" t="str">
        <f ca="1">IFERROR(__xludf.DUMMYFUNCTION("""COMPUTED_VALUE"""),"Book")</f>
        <v>Book</v>
      </c>
      <c r="F43" s="12" t="str">
        <f ca="1">IFERROR(__xludf.DUMMYFUNCTION("""COMPUTED_VALUE"""),"Church")</f>
        <v>Church</v>
      </c>
      <c r="G43" s="12"/>
      <c r="H43" s="12" t="str">
        <f ca="1">IFERROR(__xludf.DUMMYFUNCTION("""COMPUTED_VALUE"""),"9 Marks")</f>
        <v>9 Marks</v>
      </c>
      <c r="I43" s="12"/>
      <c r="J43" s="12"/>
      <c r="K43" s="13">
        <f ca="1">IFERROR(__xludf.DUMMYFUNCTION("""COMPUTED_VALUE"""),43160)</f>
        <v>43160</v>
      </c>
      <c r="L43" s="12"/>
      <c r="M43" s="12"/>
      <c r="N43" s="12" t="str">
        <f ca="1">IFERROR(__xludf.DUMMYFUNCTION("""COMPUTED_VALUE"""),"Table1")</f>
        <v>Table1</v>
      </c>
    </row>
    <row r="44" spans="1:14" ht="15.75" customHeight="1" x14ac:dyDescent="0.35">
      <c r="A44" s="12" t="str">
        <f ca="1">IFERROR(__xludf.DUMMYFUNCTION("""COMPUTED_VALUE"""),"Legg, John D.")</f>
        <v>Legg, John D.</v>
      </c>
      <c r="B44" s="12" t="str">
        <f ca="1">IFERROR(__xludf.DUMMYFUNCTION("""COMPUTED_VALUE""")," John D. Legg")</f>
        <v xml:space="preserve"> John D. Legg</v>
      </c>
      <c r="C44" s="12" t="str">
        <f ca="1">IFERROR(__xludf.DUMMYFUNCTION("""COMPUTED_VALUE"""),"The Church That Christ Built")</f>
        <v>The Church That Christ Built</v>
      </c>
      <c r="D44" s="4"/>
      <c r="E44" s="12" t="str">
        <f ca="1">IFERROR(__xludf.DUMMYFUNCTION("""COMPUTED_VALUE"""),"Book")</f>
        <v>Book</v>
      </c>
      <c r="F44" s="12" t="str">
        <f ca="1">IFERROR(__xludf.DUMMYFUNCTION("""COMPUTED_VALUE"""),"Church History")</f>
        <v>Church History</v>
      </c>
      <c r="G44" s="12"/>
      <c r="H44" s="12"/>
      <c r="I44" s="12"/>
      <c r="J44" s="12" t="str">
        <f ca="1">IFERROR(__xludf.DUMMYFUNCTION("""COMPUTED_VALUE"""),"History")</f>
        <v>History</v>
      </c>
      <c r="K44" s="13">
        <f ca="1">IFERROR(__xludf.DUMMYFUNCTION("""COMPUTED_VALUE"""),40042)</f>
        <v>40042</v>
      </c>
      <c r="L44" s="12"/>
      <c r="M44" s="12"/>
      <c r="N44" s="12" t="str">
        <f ca="1">IFERROR(__xludf.DUMMYFUNCTION("""COMPUTED_VALUE"""),"Table1")</f>
        <v>Table1</v>
      </c>
    </row>
    <row r="45" spans="1:14" ht="15.75" customHeight="1" x14ac:dyDescent="0.35">
      <c r="A45" s="12" t="str">
        <f ca="1">IFERROR(__xludf.DUMMYFUNCTION("""COMPUTED_VALUE"""),"MacArthur, John")</f>
        <v>MacArthur, John</v>
      </c>
      <c r="B45" s="12" t="str">
        <f ca="1">IFERROR(__xludf.DUMMYFUNCTION("""COMPUTED_VALUE""")," John MacArthur")</f>
        <v xml:space="preserve"> John MacArthur</v>
      </c>
      <c r="C45" s="12" t="str">
        <f ca="1">IFERROR(__xludf.DUMMYFUNCTION("""COMPUTED_VALUE"""),"Anatomy of the Church")</f>
        <v>Anatomy of the Church</v>
      </c>
      <c r="D45" s="4"/>
      <c r="E45" s="12" t="str">
        <f ca="1">IFERROR(__xludf.DUMMYFUNCTION("""COMPUTED_VALUE"""),"Audio")</f>
        <v>Audio</v>
      </c>
      <c r="F45" s="12" t="str">
        <f ca="1">IFERROR(__xludf.DUMMYFUNCTION("""COMPUTED_VALUE"""),"Church")</f>
        <v>Church</v>
      </c>
      <c r="G45" s="12"/>
      <c r="H45" s="12"/>
      <c r="I45" s="12"/>
      <c r="J45" s="12"/>
      <c r="K45" s="13">
        <f ca="1">IFERROR(__xludf.DUMMYFUNCTION("""COMPUTED_VALUE"""),40036)</f>
        <v>40036</v>
      </c>
      <c r="L45" s="12" t="str">
        <f ca="1">IFERROR(__xludf.DUMMYFUNCTION("""COMPUTED_VALUE"""),"Missing as of February 2020")</f>
        <v>Missing as of February 2020</v>
      </c>
      <c r="M45" s="12"/>
      <c r="N45" s="12" t="str">
        <f ca="1">IFERROR(__xludf.DUMMYFUNCTION("""COMPUTED_VALUE"""),"Table1")</f>
        <v>Table1</v>
      </c>
    </row>
    <row r="46" spans="1:14" ht="15.75" customHeight="1" x14ac:dyDescent="0.35">
      <c r="A46" s="12" t="str">
        <f ca="1">IFERROR(__xludf.DUMMYFUNCTION("""COMPUTED_VALUE"""),"MacArthur, John")</f>
        <v>MacArthur, John</v>
      </c>
      <c r="B46" s="12" t="str">
        <f ca="1">IFERROR(__xludf.DUMMYFUNCTION("""COMPUTED_VALUE""")," John MacArthur")</f>
        <v xml:space="preserve"> John MacArthur</v>
      </c>
      <c r="C46" s="12" t="str">
        <f ca="1">IFERROR(__xludf.DUMMYFUNCTION("""COMPUTED_VALUE"""),"The Master's Plan for the Church")</f>
        <v>The Master's Plan for the Church</v>
      </c>
      <c r="D46" s="4"/>
      <c r="E46" s="12" t="str">
        <f ca="1">IFERROR(__xludf.DUMMYFUNCTION("""COMPUTED_VALUE"""),"Book")</f>
        <v>Book</v>
      </c>
      <c r="F46" s="12" t="str">
        <f ca="1">IFERROR(__xludf.DUMMYFUNCTION("""COMPUTED_VALUE"""),"Church")</f>
        <v>Church</v>
      </c>
      <c r="G46" s="12"/>
      <c r="H46" s="12"/>
      <c r="I46" s="12"/>
      <c r="J46" s="12"/>
      <c r="K46" s="13">
        <f ca="1">IFERROR(__xludf.DUMMYFUNCTION("""COMPUTED_VALUE"""),40042)</f>
        <v>40042</v>
      </c>
      <c r="L46" s="12"/>
      <c r="M46" s="12"/>
      <c r="N46" s="12" t="str">
        <f ca="1">IFERROR(__xludf.DUMMYFUNCTION("""COMPUTED_VALUE"""),"Table1")</f>
        <v>Table1</v>
      </c>
    </row>
    <row r="47" spans="1:14" ht="15.75" customHeight="1" x14ac:dyDescent="0.35">
      <c r="A47" s="12" t="str">
        <f ca="1">IFERROR(__xludf.DUMMYFUNCTION("""COMPUTED_VALUE"""),"MacArthur, John")</f>
        <v>MacArthur, John</v>
      </c>
      <c r="B47" s="12" t="str">
        <f ca="1">IFERROR(__xludf.DUMMYFUNCTION("""COMPUTED_VALUE""")," John MacArthur")</f>
        <v xml:space="preserve"> John MacArthur</v>
      </c>
      <c r="C47" s="12" t="str">
        <f ca="1">IFERROR(__xludf.DUMMYFUNCTION("""COMPUTED_VALUE"""),"Rediscovering Pastoral Ministry")</f>
        <v>Rediscovering Pastoral Ministry</v>
      </c>
      <c r="D47" s="4"/>
      <c r="E47" s="12" t="str">
        <f ca="1">IFERROR(__xludf.DUMMYFUNCTION("""COMPUTED_VALUE"""),"Book")</f>
        <v>Book</v>
      </c>
      <c r="F47" s="12" t="str">
        <f ca="1">IFERROR(__xludf.DUMMYFUNCTION("""COMPUTED_VALUE"""),"Church")</f>
        <v>Church</v>
      </c>
      <c r="G47" s="12"/>
      <c r="H47" s="12"/>
      <c r="I47" s="12"/>
      <c r="J47" s="12" t="str">
        <f ca="1">IFERROR(__xludf.DUMMYFUNCTION("""COMPUTED_VALUE"""),"Church Leaders")</f>
        <v>Church Leaders</v>
      </c>
      <c r="K47" s="13">
        <f ca="1">IFERROR(__xludf.DUMMYFUNCTION("""COMPUTED_VALUE"""),40046)</f>
        <v>40046</v>
      </c>
      <c r="L47" s="12"/>
      <c r="M47" s="12"/>
      <c r="N47" s="12" t="str">
        <f ca="1">IFERROR(__xludf.DUMMYFUNCTION("""COMPUTED_VALUE"""),"Table1")</f>
        <v>Table1</v>
      </c>
    </row>
    <row r="48" spans="1:14" ht="15.75" customHeight="1" x14ac:dyDescent="0.35">
      <c r="A48" s="12" t="str">
        <f ca="1">IFERROR(__xludf.DUMMYFUNCTION("""COMPUTED_VALUE"""),"Mack, Wayne")</f>
        <v>Mack, Wayne</v>
      </c>
      <c r="B48" s="12" t="str">
        <f ca="1">IFERROR(__xludf.DUMMYFUNCTION("""COMPUTED_VALUE""")," Wayne Mack")</f>
        <v xml:space="preserve"> Wayne Mack</v>
      </c>
      <c r="C48" s="12" t="str">
        <f ca="1">IFERROR(__xludf.DUMMYFUNCTION("""COMPUTED_VALUE"""),"To Be or Not to Be a Church Member?  ")</f>
        <v xml:space="preserve">To Be or Not to Be a Church Member?  </v>
      </c>
      <c r="D48" s="4"/>
      <c r="E48" s="12" t="str">
        <f ca="1">IFERROR(__xludf.DUMMYFUNCTION("""COMPUTED_VALUE"""),"Book")</f>
        <v>Book</v>
      </c>
      <c r="F48" s="12" t="str">
        <f ca="1">IFERROR(__xludf.DUMMYFUNCTION("""COMPUTED_VALUE"""),"Church")</f>
        <v>Church</v>
      </c>
      <c r="G48" s="12"/>
      <c r="H48" s="12"/>
      <c r="I48" s="12"/>
      <c r="J48" s="12" t="str">
        <f ca="1">IFERROR(__xludf.DUMMYFUNCTION("""COMPUTED_VALUE"""),"Church Membership")</f>
        <v>Church Membership</v>
      </c>
      <c r="K48" s="13">
        <f ca="1">IFERROR(__xludf.DUMMYFUNCTION("""COMPUTED_VALUE"""),40034)</f>
        <v>40034</v>
      </c>
      <c r="L48" s="12"/>
      <c r="M48" s="12"/>
      <c r="N48" s="12" t="str">
        <f ca="1">IFERROR(__xludf.DUMMYFUNCTION("""COMPUTED_VALUE"""),"Table1")</f>
        <v>Table1</v>
      </c>
    </row>
    <row r="49" spans="1:14" ht="15.75" customHeight="1" x14ac:dyDescent="0.35">
      <c r="A49" s="12" t="str">
        <f ca="1">IFERROR(__xludf.DUMMYFUNCTION("""COMPUTED_VALUE"""),"Marsden, George M")</f>
        <v>Marsden, George M</v>
      </c>
      <c r="B49" s="12" t="str">
        <f ca="1">IFERROR(__xludf.DUMMYFUNCTION("""COMPUTED_VALUE""")," George M Marsden")</f>
        <v xml:space="preserve"> George M Marsden</v>
      </c>
      <c r="C49" s="12" t="str">
        <f ca="1">IFERROR(__xludf.DUMMYFUNCTION("""COMPUTED_VALUE"""),"Reforming Fundamentalism")</f>
        <v>Reforming Fundamentalism</v>
      </c>
      <c r="D49" s="4"/>
      <c r="E49" s="12" t="str">
        <f ca="1">IFERROR(__xludf.DUMMYFUNCTION("""COMPUTED_VALUE"""),"Book")</f>
        <v>Book</v>
      </c>
      <c r="F49" s="12" t="str">
        <f ca="1">IFERROR(__xludf.DUMMYFUNCTION("""COMPUTED_VALUE"""),"Church History")</f>
        <v>Church History</v>
      </c>
      <c r="G49" s="12"/>
      <c r="H49" s="12"/>
      <c r="I49" s="12"/>
      <c r="J49" s="12" t="str">
        <f ca="1">IFERROR(__xludf.DUMMYFUNCTION("""COMPUTED_VALUE"""),"History")</f>
        <v>History</v>
      </c>
      <c r="K49" s="13">
        <f ca="1">IFERROR(__xludf.DUMMYFUNCTION("""COMPUTED_VALUE"""),40055)</f>
        <v>40055</v>
      </c>
      <c r="L49" s="12"/>
      <c r="M49" s="12"/>
      <c r="N49" s="12" t="str">
        <f ca="1">IFERROR(__xludf.DUMMYFUNCTION("""COMPUTED_VALUE"""),"Table1")</f>
        <v>Table1</v>
      </c>
    </row>
    <row r="50" spans="1:14" ht="15.75" customHeight="1" x14ac:dyDescent="0.35">
      <c r="A50" s="12" t="str">
        <f ca="1">IFERROR(__xludf.DUMMYFUNCTION("""COMPUTED_VALUE"""),"Marshall, Colin")</f>
        <v>Marshall, Colin</v>
      </c>
      <c r="B50" s="12" t="str">
        <f ca="1">IFERROR(__xludf.DUMMYFUNCTION("""COMPUTED_VALUE""")," Colin Marshall")</f>
        <v xml:space="preserve"> Colin Marshall</v>
      </c>
      <c r="C50" s="12" t="str">
        <f ca="1">IFERROR(__xludf.DUMMYFUNCTION("""COMPUTED_VALUE"""),"The Trellis and the Vine")</f>
        <v>The Trellis and the Vine</v>
      </c>
      <c r="D50" s="4" t="str">
        <f ca="1">IFERROR(__xludf.DUMMYFUNCTION("""COMPUTED_VALUE"""),"Payne")</f>
        <v>Payne</v>
      </c>
      <c r="E50" s="12" t="str">
        <f ca="1">IFERROR(__xludf.DUMMYFUNCTION("""COMPUTED_VALUE"""),"Book")</f>
        <v>Book</v>
      </c>
      <c r="F50" s="12" t="str">
        <f ca="1">IFERROR(__xludf.DUMMYFUNCTION("""COMPUTED_VALUE"""),"Church")</f>
        <v>Church</v>
      </c>
      <c r="G50" s="12"/>
      <c r="H50" s="12"/>
      <c r="I50" s="12"/>
      <c r="J50" s="12"/>
      <c r="K50" s="13">
        <f ca="1">IFERROR(__xludf.DUMMYFUNCTION("""COMPUTED_VALUE"""),40308)</f>
        <v>40308</v>
      </c>
      <c r="L50" s="12"/>
      <c r="M50" s="12"/>
      <c r="N50" s="12" t="str">
        <f ca="1">IFERROR(__xludf.DUMMYFUNCTION("""COMPUTED_VALUE"""),"Table1")</f>
        <v>Table1</v>
      </c>
    </row>
    <row r="51" spans="1:14" ht="15.75" customHeight="1" x14ac:dyDescent="0.35">
      <c r="A51" s="12" t="str">
        <f ca="1">IFERROR(__xludf.DUMMYFUNCTION("""COMPUTED_VALUE"""),"McIntyre, Patrick")</f>
        <v>McIntyre, Patrick</v>
      </c>
      <c r="B51" s="12" t="str">
        <f ca="1">IFERROR(__xludf.DUMMYFUNCTION("""COMPUTED_VALUE""")," Patrick McIntyre")</f>
        <v xml:space="preserve"> Patrick McIntyre</v>
      </c>
      <c r="C51" s="12" t="str">
        <f ca="1">IFERROR(__xludf.DUMMYFUNCTION("""COMPUTED_VALUE"""),"The Graham Formula")</f>
        <v>The Graham Formula</v>
      </c>
      <c r="D51" s="4"/>
      <c r="E51" s="12" t="str">
        <f ca="1">IFERROR(__xludf.DUMMYFUNCTION("""COMPUTED_VALUE"""),"Book")</f>
        <v>Book</v>
      </c>
      <c r="F51" s="12" t="str">
        <f ca="1">IFERROR(__xludf.DUMMYFUNCTION("""COMPUTED_VALUE"""),"Church History")</f>
        <v>Church History</v>
      </c>
      <c r="G51" s="12"/>
      <c r="H51" s="12"/>
      <c r="I51" s="12"/>
      <c r="J51" s="12" t="str">
        <f ca="1">IFERROR(__xludf.DUMMYFUNCTION("""COMPUTED_VALUE"""),"History")</f>
        <v>History</v>
      </c>
      <c r="K51" s="13">
        <f ca="1">IFERROR(__xludf.DUMMYFUNCTION("""COMPUTED_VALUE"""),40035)</f>
        <v>40035</v>
      </c>
      <c r="L51" s="12"/>
      <c r="M51" s="12"/>
      <c r="N51" s="12" t="str">
        <f ca="1">IFERROR(__xludf.DUMMYFUNCTION("""COMPUTED_VALUE"""),"Table1")</f>
        <v>Table1</v>
      </c>
    </row>
    <row r="52" spans="1:14" ht="15.75" customHeight="1" x14ac:dyDescent="0.35">
      <c r="A52" s="12" t="str">
        <f ca="1">IFERROR(__xludf.DUMMYFUNCTION("""COMPUTED_VALUE"""),"Miller, C. John")</f>
        <v>Miller, C. John</v>
      </c>
      <c r="B52" s="12" t="str">
        <f ca="1">IFERROR(__xludf.DUMMYFUNCTION("""COMPUTED_VALUE""")," C. John Miller")</f>
        <v xml:space="preserve"> C. John Miller</v>
      </c>
      <c r="C52" s="12" t="str">
        <f ca="1">IFERROR(__xludf.DUMMYFUNCTION("""COMPUTED_VALUE"""),"The Heart of a Servant Leader")</f>
        <v>The Heart of a Servant Leader</v>
      </c>
      <c r="D52" s="4"/>
      <c r="E52" s="12" t="str">
        <f ca="1">IFERROR(__xludf.DUMMYFUNCTION("""COMPUTED_VALUE"""),"Book")</f>
        <v>Book</v>
      </c>
      <c r="F52" s="12" t="str">
        <f ca="1">IFERROR(__xludf.DUMMYFUNCTION("""COMPUTED_VALUE"""),"Church")</f>
        <v>Church</v>
      </c>
      <c r="G52" s="12"/>
      <c r="H52" s="12"/>
      <c r="I52" s="12"/>
      <c r="J52" s="12" t="str">
        <f ca="1">IFERROR(__xludf.DUMMYFUNCTION("""COMPUTED_VALUE"""),"Church Leaders")</f>
        <v>Church Leaders</v>
      </c>
      <c r="K52" s="13">
        <f ca="1">IFERROR(__xludf.DUMMYFUNCTION("""COMPUTED_VALUE"""),43211)</f>
        <v>43211</v>
      </c>
      <c r="L52" s="12"/>
      <c r="M52" s="12"/>
      <c r="N52" s="12" t="str">
        <f ca="1">IFERROR(__xludf.DUMMYFUNCTION("""COMPUTED_VALUE"""),"Table1")</f>
        <v>Table1</v>
      </c>
    </row>
    <row r="53" spans="1:14" ht="15.75" customHeight="1" x14ac:dyDescent="0.35">
      <c r="A53" s="12" t="str">
        <f ca="1">IFERROR(__xludf.DUMMYFUNCTION("""COMPUTED_VALUE"""),"Miller, Rachel Green")</f>
        <v>Miller, Rachel Green</v>
      </c>
      <c r="B53" s="12" t="str">
        <f ca="1">IFERROR(__xludf.DUMMYFUNCTION("""COMPUTED_VALUE""")," Rachel Green Miller")</f>
        <v xml:space="preserve"> Rachel Green Miller</v>
      </c>
      <c r="C53" s="12" t="str">
        <f ca="1">IFERROR(__xludf.DUMMYFUNCTION("""COMPUTED_VALUE"""),"Beyond Authority and Submission: Women and Men in Marriage, Church, and Society")</f>
        <v>Beyond Authority and Submission: Women and Men in Marriage, Church, and Society</v>
      </c>
      <c r="D53" s="4"/>
      <c r="E53" s="12" t="str">
        <f ca="1">IFERROR(__xludf.DUMMYFUNCTION("""COMPUTED_VALUE"""),"Book")</f>
        <v>Book</v>
      </c>
      <c r="F53" s="12" t="str">
        <f ca="1">IFERROR(__xludf.DUMMYFUNCTION("""COMPUTED_VALUE"""),"Understanding Mankind")</f>
        <v>Understanding Mankind</v>
      </c>
      <c r="G53" s="12"/>
      <c r="H53" s="12"/>
      <c r="I53" s="12"/>
      <c r="J53" s="12" t="str">
        <f ca="1">IFERROR(__xludf.DUMMYFUNCTION("""COMPUTED_VALUE"""),"Marriage, Gener Roles, Society")</f>
        <v>Marriage, Gener Roles, Society</v>
      </c>
      <c r="K53" s="13">
        <f ca="1">IFERROR(__xludf.DUMMYFUNCTION("""COMPUTED_VALUE"""),43832)</f>
        <v>43832</v>
      </c>
      <c r="L53" s="12"/>
      <c r="M53" s="12"/>
      <c r="N53" s="12" t="str">
        <f ca="1">IFERROR(__xludf.DUMMYFUNCTION("""COMPUTED_VALUE"""),"Table1")</f>
        <v>Table1</v>
      </c>
    </row>
    <row r="54" spans="1:14" ht="15.75" customHeight="1" x14ac:dyDescent="0.35">
      <c r="A54" s="12" t="str">
        <f ca="1">IFERROR(__xludf.DUMMYFUNCTION("""COMPUTED_VALUE"""),"Mohler, Albert")</f>
        <v>Mohler, Albert</v>
      </c>
      <c r="B54" s="12" t="str">
        <f ca="1">IFERROR(__xludf.DUMMYFUNCTION("""COMPUTED_VALUE""")," Albert Mohler")</f>
        <v xml:space="preserve"> Albert Mohler</v>
      </c>
      <c r="C54" s="12" t="str">
        <f ca="1">IFERROR(__xludf.DUMMYFUNCTION("""COMPUTED_VALUE"""),"The Conviction to Lead")</f>
        <v>The Conviction to Lead</v>
      </c>
      <c r="D54" s="4"/>
      <c r="E54" s="12" t="str">
        <f ca="1">IFERROR(__xludf.DUMMYFUNCTION("""COMPUTED_VALUE"""),"Book")</f>
        <v>Book</v>
      </c>
      <c r="F54" s="12" t="str">
        <f ca="1">IFERROR(__xludf.DUMMYFUNCTION("""COMPUTED_VALUE"""),"Discipleship")</f>
        <v>Discipleship</v>
      </c>
      <c r="G54" s="12"/>
      <c r="H54" s="12"/>
      <c r="I54" s="12"/>
      <c r="J54" s="12" t="str">
        <f ca="1">IFERROR(__xludf.DUMMYFUNCTION("""COMPUTED_VALUE"""),"Church Leaders")</f>
        <v>Church Leaders</v>
      </c>
      <c r="K54" s="13">
        <f ca="1">IFERROR(__xludf.DUMMYFUNCTION("""COMPUTED_VALUE"""),41499)</f>
        <v>41499</v>
      </c>
      <c r="L54" s="12"/>
      <c r="M54" s="12"/>
      <c r="N54" s="12" t="str">
        <f ca="1">IFERROR(__xludf.DUMMYFUNCTION("""COMPUTED_VALUE"""),"Table1")</f>
        <v>Table1</v>
      </c>
    </row>
    <row r="55" spans="1:14" ht="15.75" customHeight="1" x14ac:dyDescent="0.35">
      <c r="A55" s="12" t="str">
        <f ca="1">IFERROR(__xludf.DUMMYFUNCTION("""COMPUTED_VALUE"""),"Murray, Iain H")</f>
        <v>Murray, Iain H</v>
      </c>
      <c r="B55" s="12" t="str">
        <f ca="1">IFERROR(__xludf.DUMMYFUNCTION("""COMPUTED_VALUE""")," Iain H Murray")</f>
        <v xml:space="preserve"> Iain H Murray</v>
      </c>
      <c r="C55" s="12" t="str">
        <f ca="1">IFERROR(__xludf.DUMMYFUNCTION("""COMPUTED_VALUE"""),"Evangelicalism Divided")</f>
        <v>Evangelicalism Divided</v>
      </c>
      <c r="D55" s="4"/>
      <c r="E55" s="12" t="str">
        <f ca="1">IFERROR(__xludf.DUMMYFUNCTION("""COMPUTED_VALUE"""),"Book")</f>
        <v>Book</v>
      </c>
      <c r="F55" s="12" t="str">
        <f ca="1">IFERROR(__xludf.DUMMYFUNCTION("""COMPUTED_VALUE"""),"Church History")</f>
        <v>Church History</v>
      </c>
      <c r="G55" s="12"/>
      <c r="H55" s="12"/>
      <c r="I55" s="12"/>
      <c r="J55" s="12" t="str">
        <f ca="1">IFERROR(__xludf.DUMMYFUNCTION("""COMPUTED_VALUE"""),"History")</f>
        <v>History</v>
      </c>
      <c r="K55" s="13">
        <f ca="1">IFERROR(__xludf.DUMMYFUNCTION("""COMPUTED_VALUE"""),40039)</f>
        <v>40039</v>
      </c>
      <c r="L55" s="12"/>
      <c r="M55" s="12"/>
      <c r="N55" s="12" t="str">
        <f ca="1">IFERROR(__xludf.DUMMYFUNCTION("""COMPUTED_VALUE"""),"Table1")</f>
        <v>Table1</v>
      </c>
    </row>
    <row r="56" spans="1:14" ht="15.75" customHeight="1" x14ac:dyDescent="0.35">
      <c r="A56" s="12" t="str">
        <f ca="1">IFERROR(__xludf.DUMMYFUNCTION("""COMPUTED_VALUE"""),"Murray, Iain H")</f>
        <v>Murray, Iain H</v>
      </c>
      <c r="B56" s="12" t="str">
        <f ca="1">IFERROR(__xludf.DUMMYFUNCTION("""COMPUTED_VALUE""")," Iain H Murray")</f>
        <v xml:space="preserve"> Iain H Murray</v>
      </c>
      <c r="C56" s="12" t="str">
        <f ca="1">IFERROR(__xludf.DUMMYFUNCTION("""COMPUTED_VALUE"""),"Pentecost--Today?: The Biblical Basis for Understanding Revival ")</f>
        <v xml:space="preserve">Pentecost--Today?: The Biblical Basis for Understanding Revival </v>
      </c>
      <c r="D56" s="4"/>
      <c r="E56" s="12" t="str">
        <f ca="1">IFERROR(__xludf.DUMMYFUNCTION("""COMPUTED_VALUE"""),"Book")</f>
        <v>Book</v>
      </c>
      <c r="F56" s="12" t="str">
        <f ca="1">IFERROR(__xludf.DUMMYFUNCTION("""COMPUTED_VALUE"""),"Church History")</f>
        <v>Church History</v>
      </c>
      <c r="G56" s="12"/>
      <c r="H56" s="12"/>
      <c r="I56" s="12"/>
      <c r="J56" s="12" t="str">
        <f ca="1">IFERROR(__xludf.DUMMYFUNCTION("""COMPUTED_VALUE"""),"History")</f>
        <v>History</v>
      </c>
      <c r="K56" s="13">
        <f ca="1">IFERROR(__xludf.DUMMYFUNCTION("""COMPUTED_VALUE"""),40043)</f>
        <v>40043</v>
      </c>
      <c r="L56" s="12"/>
      <c r="M56" s="12"/>
      <c r="N56" s="12" t="str">
        <f ca="1">IFERROR(__xludf.DUMMYFUNCTION("""COMPUTED_VALUE"""),"Table1")</f>
        <v>Table1</v>
      </c>
    </row>
    <row r="57" spans="1:14" ht="15.75" customHeight="1" x14ac:dyDescent="0.35">
      <c r="A57" s="12" t="str">
        <f ca="1">IFERROR(__xludf.DUMMYFUNCTION("""COMPUTED_VALUE"""),"Murray, Iain H")</f>
        <v>Murray, Iain H</v>
      </c>
      <c r="B57" s="12" t="str">
        <f ca="1">IFERROR(__xludf.DUMMYFUNCTION("""COMPUTED_VALUE""")," Iain H Murray")</f>
        <v xml:space="preserve"> Iain H Murray</v>
      </c>
      <c r="C57" s="12" t="str">
        <f ca="1">IFERROR(__xludf.DUMMYFUNCTION("""COMPUTED_VALUE"""),"Revival &amp; Revivalism  ")</f>
        <v xml:space="preserve">Revival &amp; Revivalism  </v>
      </c>
      <c r="D57" s="4"/>
      <c r="E57" s="12" t="str">
        <f ca="1">IFERROR(__xludf.DUMMYFUNCTION("""COMPUTED_VALUE"""),"Book")</f>
        <v>Book</v>
      </c>
      <c r="F57" s="12" t="str">
        <f ca="1">IFERROR(__xludf.DUMMYFUNCTION("""COMPUTED_VALUE"""),"Church History")</f>
        <v>Church History</v>
      </c>
      <c r="G57" s="12"/>
      <c r="H57" s="12"/>
      <c r="I57" s="12"/>
      <c r="J57" s="12" t="str">
        <f ca="1">IFERROR(__xludf.DUMMYFUNCTION("""COMPUTED_VALUE"""),"History")</f>
        <v>History</v>
      </c>
      <c r="K57" s="13">
        <f ca="1">IFERROR(__xludf.DUMMYFUNCTION("""COMPUTED_VALUE"""),40044)</f>
        <v>40044</v>
      </c>
      <c r="L57" s="12"/>
      <c r="M57" s="12"/>
      <c r="N57" s="12" t="str">
        <f ca="1">IFERROR(__xludf.DUMMYFUNCTION("""COMPUTED_VALUE"""),"Table1")</f>
        <v>Table1</v>
      </c>
    </row>
    <row r="58" spans="1:14" ht="15.75" customHeight="1" x14ac:dyDescent="0.35">
      <c r="A58" s="12" t="str">
        <f ca="1">IFERROR(__xludf.DUMMYFUNCTION("""COMPUTED_VALUE"""),"Nielson, Jon")</f>
        <v>Nielson, Jon</v>
      </c>
      <c r="B58" s="12" t="str">
        <f ca="1">IFERROR(__xludf.DUMMYFUNCTION("""COMPUTED_VALUE""")," Jon Nielson")</f>
        <v xml:space="preserve"> Jon Nielson</v>
      </c>
      <c r="C58" s="12" t="str">
        <f ca="1">IFERROR(__xludf.DUMMYFUNCTION("""COMPUTED_VALUE"""),"Faith That Lasts: Raising Kids That Don't Leave the Church")</f>
        <v>Faith That Lasts: Raising Kids That Don't Leave the Church</v>
      </c>
      <c r="D58" s="4"/>
      <c r="E58" s="12" t="str">
        <f ca="1">IFERROR(__xludf.DUMMYFUNCTION("""COMPUTED_VALUE"""),"Book")</f>
        <v>Book</v>
      </c>
      <c r="F58" s="12" t="str">
        <f ca="1">IFERROR(__xludf.DUMMYFUNCTION("""COMPUTED_VALUE"""),"Understanding Mankind")</f>
        <v>Understanding Mankind</v>
      </c>
      <c r="G58" s="12"/>
      <c r="H58" s="12"/>
      <c r="I58" s="12" t="str">
        <f ca="1">IFERROR(__xludf.DUMMYFUNCTION("""COMPUTED_VALUE"""),"Parenting")</f>
        <v>Parenting</v>
      </c>
      <c r="J58" s="12" t="str">
        <f ca="1">IFERROR(__xludf.DUMMYFUNCTION("""COMPUTED_VALUE"""),"Parenting")</f>
        <v>Parenting</v>
      </c>
      <c r="K58" s="13">
        <f ca="1">IFERROR(__xludf.DUMMYFUNCTION("""COMPUTED_VALUE"""),42659)</f>
        <v>42659</v>
      </c>
      <c r="L58" s="12"/>
      <c r="M58" s="12"/>
      <c r="N58" s="12" t="str">
        <f ca="1">IFERROR(__xludf.DUMMYFUNCTION("""COMPUTED_VALUE"""),"Table1")</f>
        <v>Table1</v>
      </c>
    </row>
    <row r="59" spans="1:14" ht="15.75" customHeight="1" x14ac:dyDescent="0.35">
      <c r="A59" s="12" t="str">
        <f ca="1">IFERROR(__xludf.DUMMYFUNCTION("""COMPUTED_VALUE"""),"Ortland, Ray")</f>
        <v>Ortland, Ray</v>
      </c>
      <c r="B59" s="12" t="str">
        <f ca="1">IFERROR(__xludf.DUMMYFUNCTION("""COMPUTED_VALUE""")," Ray Ortland")</f>
        <v xml:space="preserve"> Ray Ortland</v>
      </c>
      <c r="C59" s="12" t="str">
        <f ca="1">IFERROR(__xludf.DUMMYFUNCTION("""COMPUTED_VALUE"""),"The Gospel: How the Church Portrays the Beauty of Christ")</f>
        <v>The Gospel: How the Church Portrays the Beauty of Christ</v>
      </c>
      <c r="D59" s="4"/>
      <c r="E59" s="12" t="str">
        <f ca="1">IFERROR(__xludf.DUMMYFUNCTION("""COMPUTED_VALUE"""),"Book")</f>
        <v>Book</v>
      </c>
      <c r="F59" s="12" t="str">
        <f ca="1">IFERROR(__xludf.DUMMYFUNCTION("""COMPUTED_VALUE"""),"Bible")</f>
        <v>Bible</v>
      </c>
      <c r="G59" s="12" t="str">
        <f ca="1">IFERROR(__xludf.DUMMYFUNCTION("""COMPUTED_VALUE"""),"Church")</f>
        <v>Church</v>
      </c>
      <c r="H59" s="12" t="str">
        <f ca="1">IFERROR(__xludf.DUMMYFUNCTION("""COMPUTED_VALUE"""),"9 Marks")</f>
        <v>9 Marks</v>
      </c>
      <c r="I59" s="12"/>
      <c r="J59" s="12"/>
      <c r="K59" s="13"/>
      <c r="L59" s="12"/>
      <c r="M59" s="12"/>
      <c r="N59" s="12" t="str">
        <f ca="1">IFERROR(__xludf.DUMMYFUNCTION("""COMPUTED_VALUE"""),"Table1")</f>
        <v>Table1</v>
      </c>
    </row>
    <row r="60" spans="1:14" ht="15.75" customHeight="1" x14ac:dyDescent="0.35">
      <c r="A60" s="12" t="str">
        <f ca="1">IFERROR(__xludf.DUMMYFUNCTION("""COMPUTED_VALUE"""),"Payne, Tony")</f>
        <v>Payne, Tony</v>
      </c>
      <c r="B60" s="12" t="str">
        <f ca="1">IFERROR(__xludf.DUMMYFUNCTION("""COMPUTED_VALUE""")," Tony Payne")</f>
        <v xml:space="preserve"> Tony Payne</v>
      </c>
      <c r="C60" s="12" t="str">
        <f ca="1">IFERROR(__xludf.DUMMYFUNCTION("""COMPUTED_VALUE"""),"How to Walk into Church")</f>
        <v>How to Walk into Church</v>
      </c>
      <c r="D60" s="4"/>
      <c r="E60" s="12" t="str">
        <f ca="1">IFERROR(__xludf.DUMMYFUNCTION("""COMPUTED_VALUE"""),"Book")</f>
        <v>Book</v>
      </c>
      <c r="F60" s="12" t="str">
        <f ca="1">IFERROR(__xludf.DUMMYFUNCTION("""COMPUTED_VALUE"""),"Church")</f>
        <v>Church</v>
      </c>
      <c r="G60" s="12"/>
      <c r="H60" s="12"/>
      <c r="I60" s="12"/>
      <c r="J60" s="12"/>
      <c r="K60" s="13">
        <f ca="1">IFERROR(__xludf.DUMMYFUNCTION("""COMPUTED_VALUE"""),42511)</f>
        <v>42511</v>
      </c>
      <c r="L60" s="12"/>
      <c r="M60" s="12"/>
      <c r="N60" s="12" t="str">
        <f ca="1">IFERROR(__xludf.DUMMYFUNCTION("""COMPUTED_VALUE"""),"Table1")</f>
        <v>Table1</v>
      </c>
    </row>
    <row r="61" spans="1:14" ht="15.75" customHeight="1" x14ac:dyDescent="0.35">
      <c r="A61" s="12" t="str">
        <f ca="1">IFERROR(__xludf.DUMMYFUNCTION("""COMPUTED_VALUE"""),"Rainer, Thom S.")</f>
        <v>Rainer, Thom S.</v>
      </c>
      <c r="B61" s="12" t="str">
        <f ca="1">IFERROR(__xludf.DUMMYFUNCTION("""COMPUTED_VALUE""")," Thom S. Rainer")</f>
        <v xml:space="preserve"> Thom S. Rainer</v>
      </c>
      <c r="C61" s="12" t="str">
        <f ca="1">IFERROR(__xludf.DUMMYFUNCTION("""COMPUTED_VALUE"""),"I Am a Church Member")</f>
        <v>I Am a Church Member</v>
      </c>
      <c r="D61" s="4"/>
      <c r="E61" s="12" t="str">
        <f ca="1">IFERROR(__xludf.DUMMYFUNCTION("""COMPUTED_VALUE"""),"Book")</f>
        <v>Book</v>
      </c>
      <c r="F61" s="12" t="str">
        <f ca="1">IFERROR(__xludf.DUMMYFUNCTION("""COMPUTED_VALUE"""),"Church")</f>
        <v>Church</v>
      </c>
      <c r="G61" s="12"/>
      <c r="H61" s="12"/>
      <c r="I61" s="12"/>
      <c r="J61" s="12" t="str">
        <f ca="1">IFERROR(__xludf.DUMMYFUNCTION("""COMPUTED_VALUE"""),"Church Membership")</f>
        <v>Church Membership</v>
      </c>
      <c r="K61" s="13">
        <f ca="1">IFERROR(__xludf.DUMMYFUNCTION("""COMPUTED_VALUE"""),42309)</f>
        <v>42309</v>
      </c>
      <c r="L61" s="12"/>
      <c r="M61" s="12"/>
      <c r="N61" s="12" t="str">
        <f ca="1">IFERROR(__xludf.DUMMYFUNCTION("""COMPUTED_VALUE"""),"Table1")</f>
        <v>Table1</v>
      </c>
    </row>
    <row r="62" spans="1:14" ht="15.75" customHeight="1" x14ac:dyDescent="0.35">
      <c r="A62" s="12" t="str">
        <f ca="1">IFERROR(__xludf.DUMMYFUNCTION("""COMPUTED_VALUE"""),"Ryken, Philip Graham")</f>
        <v>Ryken, Philip Graham</v>
      </c>
      <c r="B62" s="12" t="str">
        <f ca="1">IFERROR(__xludf.DUMMYFUNCTION("""COMPUTED_VALUE""")," Philip Graham Ryken")</f>
        <v xml:space="preserve"> Philip Graham Ryken</v>
      </c>
      <c r="C62" s="12" t="str">
        <f ca="1">IFERROR(__xludf.DUMMYFUNCTION("""COMPUTED_VALUE"""),"City on a Hill: Reclaiming the Biblical Pattern for the Church")</f>
        <v>City on a Hill: Reclaiming the Biblical Pattern for the Church</v>
      </c>
      <c r="D62" s="4"/>
      <c r="E62" s="12" t="str">
        <f ca="1">IFERROR(__xludf.DUMMYFUNCTION("""COMPUTED_VALUE"""),"Book")</f>
        <v>Book</v>
      </c>
      <c r="F62" s="12" t="str">
        <f ca="1">IFERROR(__xludf.DUMMYFUNCTION("""COMPUTED_VALUE"""),"Church")</f>
        <v>Church</v>
      </c>
      <c r="G62" s="12"/>
      <c r="H62" s="12"/>
      <c r="I62" s="12"/>
      <c r="J62" s="12"/>
      <c r="K62" s="13">
        <f ca="1">IFERROR(__xludf.DUMMYFUNCTION("""COMPUTED_VALUE"""),40052)</f>
        <v>40052</v>
      </c>
      <c r="L62" s="12"/>
      <c r="M62" s="12"/>
      <c r="N62" s="12" t="str">
        <f ca="1">IFERROR(__xludf.DUMMYFUNCTION("""COMPUTED_VALUE"""),"Table1")</f>
        <v>Table1</v>
      </c>
    </row>
    <row r="63" spans="1:14" ht="15.75" customHeight="1" x14ac:dyDescent="0.35">
      <c r="A63" s="12" t="str">
        <f ca="1">IFERROR(__xludf.DUMMYFUNCTION("""COMPUTED_VALUE"""),"Ryken, Philip Graham")</f>
        <v>Ryken, Philip Graham</v>
      </c>
      <c r="B63" s="12" t="str">
        <f ca="1">IFERROR(__xludf.DUMMYFUNCTION("""COMPUTED_VALUE""")," Philip Graham Ryken")</f>
        <v xml:space="preserve"> Philip Graham Ryken</v>
      </c>
      <c r="C63" s="12" t="str">
        <f ca="1">IFERROR(__xludf.DUMMYFUNCTION("""COMPUTED_VALUE"""),"Communion of Saints: Living in Fellowship with the People of God")</f>
        <v>Communion of Saints: Living in Fellowship with the People of God</v>
      </c>
      <c r="D63" s="4"/>
      <c r="E63" s="12" t="str">
        <f ca="1">IFERROR(__xludf.DUMMYFUNCTION("""COMPUTED_VALUE"""),"Book")</f>
        <v>Book</v>
      </c>
      <c r="F63" s="12" t="str">
        <f ca="1">IFERROR(__xludf.DUMMYFUNCTION("""COMPUTED_VALUE"""),"Church")</f>
        <v>Church</v>
      </c>
      <c r="G63" s="12"/>
      <c r="H63" s="12"/>
      <c r="I63" s="12"/>
      <c r="J63" s="12" t="str">
        <f ca="1">IFERROR(__xludf.DUMMYFUNCTION("""COMPUTED_VALUE"""),"Fellowship")</f>
        <v>Fellowship</v>
      </c>
      <c r="K63" s="13">
        <f ca="1">IFERROR(__xludf.DUMMYFUNCTION("""COMPUTED_VALUE"""),40053)</f>
        <v>40053</v>
      </c>
      <c r="L63" s="12"/>
      <c r="M63" s="12"/>
      <c r="N63" s="12" t="str">
        <f ca="1">IFERROR(__xludf.DUMMYFUNCTION("""COMPUTED_VALUE"""),"Table1")</f>
        <v>Table1</v>
      </c>
    </row>
    <row r="64" spans="1:14" ht="15.75" customHeight="1" x14ac:dyDescent="0.35">
      <c r="A64" s="12" t="str">
        <f ca="1">IFERROR(__xludf.DUMMYFUNCTION("""COMPUTED_VALUE"""),"Sanders, J. Oswald")</f>
        <v>Sanders, J. Oswald</v>
      </c>
      <c r="B64" s="12" t="str">
        <f ca="1">IFERROR(__xludf.DUMMYFUNCTION("""COMPUTED_VALUE""")," J. Oswald Sanders")</f>
        <v xml:space="preserve"> J. Oswald Sanders</v>
      </c>
      <c r="C64" s="12" t="str">
        <f ca="1">IFERROR(__xludf.DUMMYFUNCTION("""COMPUTED_VALUE"""),"Spiritual Leadership")</f>
        <v>Spiritual Leadership</v>
      </c>
      <c r="D64" s="4"/>
      <c r="E64" s="12" t="str">
        <f ca="1">IFERROR(__xludf.DUMMYFUNCTION("""COMPUTED_VALUE"""),"Book")</f>
        <v>Book</v>
      </c>
      <c r="F64" s="12" t="str">
        <f ca="1">IFERROR(__xludf.DUMMYFUNCTION("""COMPUTED_VALUE"""),"Discipleship")</f>
        <v>Discipleship</v>
      </c>
      <c r="G64" s="12"/>
      <c r="H64" s="12"/>
      <c r="I64" s="12"/>
      <c r="J64" s="12" t="str">
        <f ca="1">IFERROR(__xludf.DUMMYFUNCTION("""COMPUTED_VALUE"""),"Church Leaders")</f>
        <v>Church Leaders</v>
      </c>
      <c r="K64" s="13">
        <f ca="1">IFERROR(__xludf.DUMMYFUNCTION("""COMPUTED_VALUE"""),40037)</f>
        <v>40037</v>
      </c>
      <c r="L64" s="12"/>
      <c r="M64" s="12"/>
      <c r="N64" s="12" t="str">
        <f ca="1">IFERROR(__xludf.DUMMYFUNCTION("""COMPUTED_VALUE"""),"Table1")</f>
        <v>Table1</v>
      </c>
    </row>
    <row r="65" spans="1:14" ht="15.75" customHeight="1" x14ac:dyDescent="0.35">
      <c r="A65" s="12" t="str">
        <f ca="1">IFERROR(__xludf.DUMMYFUNCTION("""COMPUTED_VALUE"""),"Saucy, Robert L.")</f>
        <v>Saucy, Robert L.</v>
      </c>
      <c r="B65" s="12" t="str">
        <f ca="1">IFERROR(__xludf.DUMMYFUNCTION("""COMPUTED_VALUE""")," Robert L. Saucy")</f>
        <v xml:space="preserve"> Robert L. Saucy</v>
      </c>
      <c r="C65" s="12" t="str">
        <f ca="1">IFERROR(__xludf.DUMMYFUNCTION("""COMPUTED_VALUE"""),"The Church in God's Program")</f>
        <v>The Church in God's Program</v>
      </c>
      <c r="D65" s="4"/>
      <c r="E65" s="12" t="str">
        <f ca="1">IFERROR(__xludf.DUMMYFUNCTION("""COMPUTED_VALUE"""),"Book")</f>
        <v>Book</v>
      </c>
      <c r="F65" s="12" t="str">
        <f ca="1">IFERROR(__xludf.DUMMYFUNCTION("""COMPUTED_VALUE"""),"Church")</f>
        <v>Church</v>
      </c>
      <c r="G65" s="12"/>
      <c r="H65" s="12"/>
      <c r="I65" s="12"/>
      <c r="J65" s="12"/>
      <c r="K65" s="13">
        <f ca="1">IFERROR(__xludf.DUMMYFUNCTION("""COMPUTED_VALUE"""),40038)</f>
        <v>40038</v>
      </c>
      <c r="L65" s="12"/>
      <c r="M65" s="12"/>
      <c r="N65" s="12" t="str">
        <f ca="1">IFERROR(__xludf.DUMMYFUNCTION("""COMPUTED_VALUE"""),"Table1")</f>
        <v>Table1</v>
      </c>
    </row>
    <row r="66" spans="1:14" ht="15.75" customHeight="1" x14ac:dyDescent="0.35">
      <c r="A66" s="12" t="str">
        <f ca="1">IFERROR(__xludf.DUMMYFUNCTION("""COMPUTED_VALUE"""),"Schaeffer, Francis A.")</f>
        <v>Schaeffer, Francis A.</v>
      </c>
      <c r="B66" s="12" t="str">
        <f ca="1">IFERROR(__xludf.DUMMYFUNCTION("""COMPUTED_VALUE""")," Francis A. Schaeffer")</f>
        <v xml:space="preserve"> Francis A. Schaeffer</v>
      </c>
      <c r="C66" s="12" t="str">
        <f ca="1">IFERROR(__xludf.DUMMYFUNCTION("""COMPUTED_VALUE"""),"The Great Evangelical Disaster")</f>
        <v>The Great Evangelical Disaster</v>
      </c>
      <c r="D66" s="4"/>
      <c r="E66" s="12" t="str">
        <f ca="1">IFERROR(__xludf.DUMMYFUNCTION("""COMPUTED_VALUE"""),"Book")</f>
        <v>Book</v>
      </c>
      <c r="F66" s="12" t="str">
        <f ca="1">IFERROR(__xludf.DUMMYFUNCTION("""COMPUTED_VALUE"""),"Worldview")</f>
        <v>Worldview</v>
      </c>
      <c r="G66" s="12"/>
      <c r="H66" s="12"/>
      <c r="I66" s="12"/>
      <c r="J66" s="12" t="str">
        <f ca="1">IFERROR(__xludf.DUMMYFUNCTION("""COMPUTED_VALUE"""),"Church, Culture")</f>
        <v>Church, Culture</v>
      </c>
      <c r="K66" s="13">
        <f ca="1">IFERROR(__xludf.DUMMYFUNCTION("""COMPUTED_VALUE"""),40026)</f>
        <v>40026</v>
      </c>
      <c r="L66" s="12"/>
      <c r="M66" s="12"/>
      <c r="N66" s="12" t="str">
        <f ca="1">IFERROR(__xludf.DUMMYFUNCTION("""COMPUTED_VALUE"""),"Table1")</f>
        <v>Table1</v>
      </c>
    </row>
    <row r="67" spans="1:14" ht="15.75" customHeight="1" x14ac:dyDescent="0.35">
      <c r="A67" s="12" t="str">
        <f ca="1">IFERROR(__xludf.DUMMYFUNCTION("""COMPUTED_VALUE"""),"Schreiner, Thomas R.; Kostenberger, Andreas")</f>
        <v>Schreiner, Thomas R.; Kostenberger, Andreas</v>
      </c>
      <c r="B67" s="12" t="str">
        <f ca="1">IFERROR(__xludf.DUMMYFUNCTION("""COMPUTED_VALUE""")," Thomas R. Schreiner; Andreas Kostenberger")</f>
        <v xml:space="preserve"> Thomas R. Schreiner; Andreas Kostenberger</v>
      </c>
      <c r="C67" s="12" t="str">
        <f ca="1">IFERROR(__xludf.DUMMYFUNCTION("""COMPUTED_VALUE"""),"Women in the Church")</f>
        <v>Women in the Church</v>
      </c>
      <c r="D67" s="4" t="str">
        <f ca="1">IFERROR(__xludf.DUMMYFUNCTION("""COMPUTED_VALUE"""),"Kostenberger")</f>
        <v>Kostenberger</v>
      </c>
      <c r="E67" s="12" t="str">
        <f ca="1">IFERROR(__xludf.DUMMYFUNCTION("""COMPUTED_VALUE"""),"Book")</f>
        <v>Book</v>
      </c>
      <c r="F67" s="12" t="str">
        <f ca="1">IFERROR(__xludf.DUMMYFUNCTION("""COMPUTED_VALUE"""),"Understanding Mankind")</f>
        <v>Understanding Mankind</v>
      </c>
      <c r="G67" s="12"/>
      <c r="H67" s="12"/>
      <c r="I67" s="12"/>
      <c r="J67" s="12" t="str">
        <f ca="1">IFERROR(__xludf.DUMMYFUNCTION("""COMPUTED_VALUE"""),"Christian Women")</f>
        <v>Christian Women</v>
      </c>
      <c r="K67" s="13">
        <f ca="1">IFERROR(__xludf.DUMMYFUNCTION("""COMPUTED_VALUE"""),42511)</f>
        <v>42511</v>
      </c>
      <c r="L67" s="12"/>
      <c r="M67" s="12"/>
      <c r="N67" s="12" t="str">
        <f ca="1">IFERROR(__xludf.DUMMYFUNCTION("""COMPUTED_VALUE"""),"Table1")</f>
        <v>Table1</v>
      </c>
    </row>
    <row r="68" spans="1:14" ht="15.75" customHeight="1" x14ac:dyDescent="0.35">
      <c r="A68" s="12" t="str">
        <f ca="1">IFERROR(__xludf.DUMMYFUNCTION("""COMPUTED_VALUE"""),"Shaw, Ian J")</f>
        <v>Shaw, Ian J</v>
      </c>
      <c r="B68" s="12" t="str">
        <f ca="1">IFERROR(__xludf.DUMMYFUNCTION("""COMPUTED_VALUE""")," Ian J Shaw")</f>
        <v xml:space="preserve"> Ian J Shaw</v>
      </c>
      <c r="C68" s="12" t="str">
        <f ca="1">IFERROR(__xludf.DUMMYFUNCTION("""COMPUTED_VALUE"""),"Churches, Revolutions &amp; Empires 1789-1914")</f>
        <v>Churches, Revolutions &amp; Empires 1789-1914</v>
      </c>
      <c r="D68" s="4"/>
      <c r="E68" s="12" t="str">
        <f ca="1">IFERROR(__xludf.DUMMYFUNCTION("""COMPUTED_VALUE"""),"Book")</f>
        <v>Book</v>
      </c>
      <c r="F68" s="12" t="str">
        <f ca="1">IFERROR(__xludf.DUMMYFUNCTION("""COMPUTED_VALUE"""),"Church History")</f>
        <v>Church History</v>
      </c>
      <c r="G68" s="12"/>
      <c r="H68" s="12"/>
      <c r="I68" s="12"/>
      <c r="J68" s="12" t="str">
        <f ca="1">IFERROR(__xludf.DUMMYFUNCTION("""COMPUTED_VALUE"""),"History")</f>
        <v>History</v>
      </c>
      <c r="K68" s="13">
        <f ca="1">IFERROR(__xludf.DUMMYFUNCTION("""COMPUTED_VALUE"""),41468)</f>
        <v>41468</v>
      </c>
      <c r="L68" s="12"/>
      <c r="M68" s="12"/>
      <c r="N68" s="12" t="str">
        <f ca="1">IFERROR(__xludf.DUMMYFUNCTION("""COMPUTED_VALUE"""),"Table1")</f>
        <v>Table1</v>
      </c>
    </row>
    <row r="69" spans="1:14" ht="15.75" customHeight="1" x14ac:dyDescent="0.35">
      <c r="A69" s="12" t="str">
        <f ca="1">IFERROR(__xludf.DUMMYFUNCTION("""COMPUTED_VALUE"""),"Strauch, Alexander")</f>
        <v>Strauch, Alexander</v>
      </c>
      <c r="B69" s="12" t="str">
        <f ca="1">IFERROR(__xludf.DUMMYFUNCTION("""COMPUTED_VALUE""")," Alexander Strauch")</f>
        <v xml:space="preserve"> Alexander Strauch</v>
      </c>
      <c r="C69" s="12" t="str">
        <f ca="1">IFERROR(__xludf.DUMMYFUNCTION("""COMPUTED_VALUE"""),"Biblical Eldership")</f>
        <v>Biblical Eldership</v>
      </c>
      <c r="D69" s="4"/>
      <c r="E69" s="12" t="str">
        <f ca="1">IFERROR(__xludf.DUMMYFUNCTION("""COMPUTED_VALUE"""),"Book")</f>
        <v>Book</v>
      </c>
      <c r="F69" s="12" t="str">
        <f ca="1">IFERROR(__xludf.DUMMYFUNCTION("""COMPUTED_VALUE"""),"Church")</f>
        <v>Church</v>
      </c>
      <c r="G69" s="12"/>
      <c r="H69" s="12"/>
      <c r="I69" s="12"/>
      <c r="J69" s="12" t="str">
        <f ca="1">IFERROR(__xludf.DUMMYFUNCTION("""COMPUTED_VALUE"""),"Church Leaders")</f>
        <v>Church Leaders</v>
      </c>
      <c r="K69" s="13">
        <f ca="1">IFERROR(__xludf.DUMMYFUNCTION("""COMPUTED_VALUE"""),40046)</f>
        <v>40046</v>
      </c>
      <c r="L69" s="12"/>
      <c r="M69" s="12"/>
      <c r="N69" s="12" t="str">
        <f ca="1">IFERROR(__xludf.DUMMYFUNCTION("""COMPUTED_VALUE"""),"Table1")</f>
        <v>Table1</v>
      </c>
    </row>
    <row r="70" spans="1:14" ht="15.75" customHeight="1" x14ac:dyDescent="0.35">
      <c r="A70" s="12" t="str">
        <f ca="1">IFERROR(__xludf.DUMMYFUNCTION("""COMPUTED_VALUE"""),"Strauch, Alexander")</f>
        <v>Strauch, Alexander</v>
      </c>
      <c r="B70" s="12" t="str">
        <f ca="1">IFERROR(__xludf.DUMMYFUNCTION("""COMPUTED_VALUE""")," Alexander Strauch")</f>
        <v xml:space="preserve"> Alexander Strauch</v>
      </c>
      <c r="C70" s="12" t="str">
        <f ca="1">IFERROR(__xludf.DUMMYFUNCTION("""COMPUTED_VALUE"""),"The Hospitality Commands: Building Bridges to Friends and Neighbors")</f>
        <v>The Hospitality Commands: Building Bridges to Friends and Neighbors</v>
      </c>
      <c r="D70" s="4"/>
      <c r="E70" s="12" t="str">
        <f ca="1">IFERROR(__xludf.DUMMYFUNCTION("""COMPUTED_VALUE"""),"Book")</f>
        <v>Book</v>
      </c>
      <c r="F70" s="12" t="str">
        <f ca="1">IFERROR(__xludf.DUMMYFUNCTION("""COMPUTED_VALUE"""),"Church")</f>
        <v>Church</v>
      </c>
      <c r="G70" s="12"/>
      <c r="H70" s="12"/>
      <c r="I70" s="12"/>
      <c r="J70" s="12" t="str">
        <f ca="1">IFERROR(__xludf.DUMMYFUNCTION("""COMPUTED_VALUE"""),"Fellowship")</f>
        <v>Fellowship</v>
      </c>
      <c r="K70" s="13">
        <f ca="1">IFERROR(__xludf.DUMMYFUNCTION("""COMPUTED_VALUE"""),40047)</f>
        <v>40047</v>
      </c>
      <c r="L70" s="12"/>
      <c r="M70" s="12"/>
      <c r="N70" s="12" t="str">
        <f ca="1">IFERROR(__xludf.DUMMYFUNCTION("""COMPUTED_VALUE"""),"Table1")</f>
        <v>Table1</v>
      </c>
    </row>
    <row r="71" spans="1:14" ht="15.75" customHeight="1" x14ac:dyDescent="0.35">
      <c r="A71" s="12" t="str">
        <f ca="1">IFERROR(__xludf.DUMMYFUNCTION("""COMPUTED_VALUE"""),"Thune, Robert H. ")</f>
        <v xml:space="preserve">Thune, Robert H. </v>
      </c>
      <c r="B71" s="12" t="str">
        <f ca="1">IFERROR(__xludf.DUMMYFUNCTION("""COMPUTED_VALUE""")," Robert H.  Thune")</f>
        <v xml:space="preserve"> Robert H.  Thune</v>
      </c>
      <c r="C71" s="12" t="str">
        <f ca="1">IFERROR(__xludf.DUMMYFUNCTION("""COMPUTED_VALUE"""),"Gospel Eldership")</f>
        <v>Gospel Eldership</v>
      </c>
      <c r="D71" s="4"/>
      <c r="E71" s="12" t="str">
        <f ca="1">IFERROR(__xludf.DUMMYFUNCTION("""COMPUTED_VALUE"""),"Book")</f>
        <v>Book</v>
      </c>
      <c r="F71" s="12" t="str">
        <f ca="1">IFERROR(__xludf.DUMMYFUNCTION("""COMPUTED_VALUE"""),"Church")</f>
        <v>Church</v>
      </c>
      <c r="G71" s="12"/>
      <c r="H71" s="12"/>
      <c r="I71" s="12"/>
      <c r="J71" s="12" t="str">
        <f ca="1">IFERROR(__xludf.DUMMYFUNCTION("""COMPUTED_VALUE"""),"Church Leaders")</f>
        <v>Church Leaders</v>
      </c>
      <c r="K71" s="13">
        <f ca="1">IFERROR(__xludf.DUMMYFUNCTION("""COMPUTED_VALUE"""),42511)</f>
        <v>42511</v>
      </c>
      <c r="L71" s="12"/>
      <c r="M71" s="12"/>
      <c r="N71" s="12" t="str">
        <f ca="1">IFERROR(__xludf.DUMMYFUNCTION("""COMPUTED_VALUE"""),"Table1")</f>
        <v>Table1</v>
      </c>
    </row>
    <row r="72" spans="1:14" ht="15.75" customHeight="1" x14ac:dyDescent="0.35">
      <c r="A72" s="12" t="str">
        <f ca="1">IFERROR(__xludf.DUMMYFUNCTION("""COMPUTED_VALUE"""),"Tripp, Paul David")</f>
        <v>Tripp, Paul David</v>
      </c>
      <c r="B72" s="12" t="str">
        <f ca="1">IFERROR(__xludf.DUMMYFUNCTION("""COMPUTED_VALUE""")," Paul David Tripp")</f>
        <v xml:space="preserve"> Paul David Tripp</v>
      </c>
      <c r="C72" s="12" t="str">
        <f ca="1">IFERROR(__xludf.DUMMYFUNCTION("""COMPUTED_VALUE"""),"Dangerous Calling: Confronting the Unique Challenges of Pastoral Ministry ")</f>
        <v xml:space="preserve">Dangerous Calling: Confronting the Unique Challenges of Pastoral Ministry </v>
      </c>
      <c r="D72" s="4"/>
      <c r="E72" s="12" t="str">
        <f ca="1">IFERROR(__xludf.DUMMYFUNCTION("""COMPUTED_VALUE"""),"Book")</f>
        <v>Book</v>
      </c>
      <c r="F72" s="12" t="str">
        <f ca="1">IFERROR(__xludf.DUMMYFUNCTION("""COMPUTED_VALUE"""),"Church")</f>
        <v>Church</v>
      </c>
      <c r="G72" s="12"/>
      <c r="H72" s="12"/>
      <c r="I72" s="12"/>
      <c r="J72" s="12" t="str">
        <f ca="1">IFERROR(__xludf.DUMMYFUNCTION("""COMPUTED_VALUE"""),"Church Leaders")</f>
        <v>Church Leaders</v>
      </c>
      <c r="K72" s="13">
        <f ca="1">IFERROR(__xludf.DUMMYFUNCTION("""COMPUTED_VALUE"""),41287)</f>
        <v>41287</v>
      </c>
      <c r="L72" s="12"/>
      <c r="M72" s="12"/>
      <c r="N72" s="12" t="str">
        <f ca="1">IFERROR(__xludf.DUMMYFUNCTION("""COMPUTED_VALUE"""),"Table1")</f>
        <v>Table1</v>
      </c>
    </row>
    <row r="73" spans="1:14" ht="15.75" customHeight="1" x14ac:dyDescent="0.35">
      <c r="A73" s="12" t="str">
        <f ca="1">IFERROR(__xludf.DUMMYFUNCTION("""COMPUTED_VALUE"""),"Trueman, Carl R.")</f>
        <v>Trueman, Carl R.</v>
      </c>
      <c r="B73" s="12" t="str">
        <f ca="1">IFERROR(__xludf.DUMMYFUNCTION("""COMPUTED_VALUE""")," Carl R. Trueman")</f>
        <v xml:space="preserve"> Carl R. Trueman</v>
      </c>
      <c r="C73" s="12" t="str">
        <f ca="1">IFERROR(__xludf.DUMMYFUNCTION("""COMPUTED_VALUE"""),"Fools Rush In  Where Monkeys Fear to Tread: Taking Aim at Everyone")</f>
        <v>Fools Rush In  Where Monkeys Fear to Tread: Taking Aim at Everyone</v>
      </c>
      <c r="D73" s="4"/>
      <c r="E73" s="12" t="str">
        <f ca="1">IFERROR(__xludf.DUMMYFUNCTION("""COMPUTED_VALUE"""),"Book")</f>
        <v>Book</v>
      </c>
      <c r="F73" s="12" t="str">
        <f ca="1">IFERROR(__xludf.DUMMYFUNCTION("""COMPUTED_VALUE"""),"Worldview")</f>
        <v>Worldview</v>
      </c>
      <c r="G73" s="12"/>
      <c r="H73" s="12"/>
      <c r="I73" s="12"/>
      <c r="J73" s="12" t="str">
        <f ca="1">IFERROR(__xludf.DUMMYFUNCTION("""COMPUTED_VALUE"""),"Church, Culture")</f>
        <v>Church, Culture</v>
      </c>
      <c r="K73" s="13">
        <f ca="1">IFERROR(__xludf.DUMMYFUNCTION("""COMPUTED_VALUE"""),43160)</f>
        <v>43160</v>
      </c>
      <c r="L73" s="12"/>
      <c r="M73" s="12"/>
      <c r="N73" s="12" t="str">
        <f ca="1">IFERROR(__xludf.DUMMYFUNCTION("""COMPUTED_VALUE"""),"Table1")</f>
        <v>Table1</v>
      </c>
    </row>
    <row r="74" spans="1:14" ht="15.75" customHeight="1" x14ac:dyDescent="0.35">
      <c r="A74" s="12" t="str">
        <f ca="1">IFERROR(__xludf.DUMMYFUNCTION("""COMPUTED_VALUE"""),"Wells, David R.")</f>
        <v>Wells, David R.</v>
      </c>
      <c r="B74" s="12" t="str">
        <f ca="1">IFERROR(__xludf.DUMMYFUNCTION("""COMPUTED_VALUE""")," David R. Wells")</f>
        <v xml:space="preserve"> David R. Wells</v>
      </c>
      <c r="C74" s="12" t="str">
        <f ca="1">IFERROR(__xludf.DUMMYFUNCTION("""COMPUTED_VALUE"""),"God in the Wastelands: The Reality of Truth in a World of Fading Dreams")</f>
        <v>God in the Wastelands: The Reality of Truth in a World of Fading Dreams</v>
      </c>
      <c r="D74" s="4"/>
      <c r="E74" s="12" t="str">
        <f ca="1">IFERROR(__xludf.DUMMYFUNCTION("""COMPUTED_VALUE"""),"Book")</f>
        <v>Book</v>
      </c>
      <c r="F74" s="12" t="str">
        <f ca="1">IFERROR(__xludf.DUMMYFUNCTION("""COMPUTED_VALUE"""),"Worldview")</f>
        <v>Worldview</v>
      </c>
      <c r="G74" s="12"/>
      <c r="H74" s="12"/>
      <c r="I74" s="12"/>
      <c r="J74" s="12" t="str">
        <f ca="1">IFERROR(__xludf.DUMMYFUNCTION("""COMPUTED_VALUE"""),"Church, Culture")</f>
        <v>Church, Culture</v>
      </c>
      <c r="K74" s="13">
        <f ca="1">IFERROR(__xludf.DUMMYFUNCTION("""COMPUTED_VALUE"""),40046)</f>
        <v>40046</v>
      </c>
      <c r="L74" s="12"/>
      <c r="M74" s="12"/>
      <c r="N74" s="12" t="str">
        <f ca="1">IFERROR(__xludf.DUMMYFUNCTION("""COMPUTED_VALUE"""),"Table1")</f>
        <v>Table1</v>
      </c>
    </row>
    <row r="75" spans="1:14" ht="15.75" customHeight="1" x14ac:dyDescent="0.35">
      <c r="A75" s="12" t="str">
        <f ca="1">IFERROR(__xludf.DUMMYFUNCTION("""COMPUTED_VALUE"""),"Wells, David R.")</f>
        <v>Wells, David R.</v>
      </c>
      <c r="B75" s="12" t="str">
        <f ca="1">IFERROR(__xludf.DUMMYFUNCTION("""COMPUTED_VALUE""")," David R. Wells")</f>
        <v xml:space="preserve"> David R. Wells</v>
      </c>
      <c r="C75" s="12" t="str">
        <f ca="1">IFERROR(__xludf.DUMMYFUNCTION("""COMPUTED_VALUE"""),"God in the Whirlwind: How the Holy-love of God Reorients Our World")</f>
        <v>God in the Whirlwind: How the Holy-love of God Reorients Our World</v>
      </c>
      <c r="D75" s="4"/>
      <c r="E75" s="12" t="str">
        <f ca="1">IFERROR(__xludf.DUMMYFUNCTION("""COMPUTED_VALUE"""),"Book")</f>
        <v>Book</v>
      </c>
      <c r="F75" s="12" t="str">
        <f ca="1">IFERROR(__xludf.DUMMYFUNCTION("""COMPUTED_VALUE"""),"Worldview")</f>
        <v>Worldview</v>
      </c>
      <c r="G75" s="12"/>
      <c r="H75" s="12"/>
      <c r="I75" s="12"/>
      <c r="J75" s="12" t="str">
        <f ca="1">IFERROR(__xludf.DUMMYFUNCTION("""COMPUTED_VALUE"""),"Church, Culture")</f>
        <v>Church, Culture</v>
      </c>
      <c r="K75" s="13">
        <f ca="1">IFERROR(__xludf.DUMMYFUNCTION("""COMPUTED_VALUE"""),41712)</f>
        <v>41712</v>
      </c>
      <c r="L75" s="12"/>
      <c r="M75" s="12"/>
      <c r="N75" s="12" t="str">
        <f ca="1">IFERROR(__xludf.DUMMYFUNCTION("""COMPUTED_VALUE"""),"Table1")</f>
        <v>Table1</v>
      </c>
    </row>
    <row r="76" spans="1:14" ht="15.75" customHeight="1" x14ac:dyDescent="0.35">
      <c r="A76" s="12" t="str">
        <f ca="1">IFERROR(__xludf.DUMMYFUNCTION("""COMPUTED_VALUE"""),"Wells, David R.")</f>
        <v>Wells, David R.</v>
      </c>
      <c r="B76" s="12" t="str">
        <f ca="1">IFERROR(__xludf.DUMMYFUNCTION("""COMPUTED_VALUE""")," David R. Wells")</f>
        <v xml:space="preserve"> David R. Wells</v>
      </c>
      <c r="C76" s="12" t="str">
        <f ca="1">IFERROR(__xludf.DUMMYFUNCTION("""COMPUTED_VALUE"""),"Losing Our Virtue: Why the Church Must Recover Its Moral Vision ")</f>
        <v xml:space="preserve">Losing Our Virtue: Why the Church Must Recover Its Moral Vision </v>
      </c>
      <c r="D76" s="4"/>
      <c r="E76" s="12" t="str">
        <f ca="1">IFERROR(__xludf.DUMMYFUNCTION("""COMPUTED_VALUE"""),"Book")</f>
        <v>Book</v>
      </c>
      <c r="F76" s="12" t="str">
        <f ca="1">IFERROR(__xludf.DUMMYFUNCTION("""COMPUTED_VALUE"""),"Worldview")</f>
        <v>Worldview</v>
      </c>
      <c r="G76" s="12"/>
      <c r="H76" s="12"/>
      <c r="I76" s="12"/>
      <c r="J76" s="12" t="str">
        <f ca="1">IFERROR(__xludf.DUMMYFUNCTION("""COMPUTED_VALUE"""),"Church, Culture")</f>
        <v>Church, Culture</v>
      </c>
      <c r="K76" s="13">
        <f ca="1">IFERROR(__xludf.DUMMYFUNCTION("""COMPUTED_VALUE"""),40047)</f>
        <v>40047</v>
      </c>
      <c r="L76" s="12"/>
      <c r="M76" s="12"/>
      <c r="N76" s="12" t="str">
        <f ca="1">IFERROR(__xludf.DUMMYFUNCTION("""COMPUTED_VALUE"""),"Table1")</f>
        <v>Table1</v>
      </c>
    </row>
    <row r="77" spans="1:14" ht="15.75" customHeight="1" x14ac:dyDescent="0.35">
      <c r="A77" s="12" t="str">
        <f ca="1">IFERROR(__xludf.DUMMYFUNCTION("""COMPUTED_VALUE"""),"Wells, David R.")</f>
        <v>Wells, David R.</v>
      </c>
      <c r="B77" s="12" t="str">
        <f ca="1">IFERROR(__xludf.DUMMYFUNCTION("""COMPUTED_VALUE""")," David R. Wells")</f>
        <v xml:space="preserve"> David R. Wells</v>
      </c>
      <c r="C77" s="12" t="str">
        <f ca="1">IFERROR(__xludf.DUMMYFUNCTION("""COMPUTED_VALUE"""),"No Place for Truth: or Whatever Happened to Evangelical Theology?")</f>
        <v>No Place for Truth: or Whatever Happened to Evangelical Theology?</v>
      </c>
      <c r="D77" s="4"/>
      <c r="E77" s="12" t="str">
        <f ca="1">IFERROR(__xludf.DUMMYFUNCTION("""COMPUTED_VALUE"""),"Book")</f>
        <v>Book</v>
      </c>
      <c r="F77" s="12" t="str">
        <f ca="1">IFERROR(__xludf.DUMMYFUNCTION("""COMPUTED_VALUE"""),"Worldview")</f>
        <v>Worldview</v>
      </c>
      <c r="G77" s="12"/>
      <c r="H77" s="12"/>
      <c r="I77" s="12"/>
      <c r="J77" s="12" t="str">
        <f ca="1">IFERROR(__xludf.DUMMYFUNCTION("""COMPUTED_VALUE"""),"Church, Culture")</f>
        <v>Church, Culture</v>
      </c>
      <c r="K77" s="13">
        <f ca="1">IFERROR(__xludf.DUMMYFUNCTION("""COMPUTED_VALUE"""),40048)</f>
        <v>40048</v>
      </c>
      <c r="L77" s="12"/>
      <c r="M77" s="12"/>
      <c r="N77" s="12" t="str">
        <f ca="1">IFERROR(__xludf.DUMMYFUNCTION("""COMPUTED_VALUE"""),"Table1")</f>
        <v>Table1</v>
      </c>
    </row>
    <row r="78" spans="1:14" ht="15.75" customHeight="1" x14ac:dyDescent="0.35">
      <c r="A78" s="12" t="str">
        <f ca="1">IFERROR(__xludf.DUMMYFUNCTION("""COMPUTED_VALUE"""),"Wilken, Robert Louis")</f>
        <v>Wilken, Robert Louis</v>
      </c>
      <c r="B78" s="12" t="str">
        <f ca="1">IFERROR(__xludf.DUMMYFUNCTION("""COMPUTED_VALUE""")," Robert Louis Wilken")</f>
        <v xml:space="preserve"> Robert Louis Wilken</v>
      </c>
      <c r="C78" s="12" t="str">
        <f ca="1">IFERROR(__xludf.DUMMYFUNCTION("""COMPUTED_VALUE"""),"The First Thousand Years")</f>
        <v>The First Thousand Years</v>
      </c>
      <c r="D78" s="4"/>
      <c r="E78" s="12" t="str">
        <f ca="1">IFERROR(__xludf.DUMMYFUNCTION("""COMPUTED_VALUE"""),"Book")</f>
        <v>Book</v>
      </c>
      <c r="F78" s="12" t="str">
        <f ca="1">IFERROR(__xludf.DUMMYFUNCTION("""COMPUTED_VALUE"""),"Church History")</f>
        <v>Church History</v>
      </c>
      <c r="G78" s="12"/>
      <c r="H78" s="12"/>
      <c r="I78" s="12"/>
      <c r="J78" s="12" t="str">
        <f ca="1">IFERROR(__xludf.DUMMYFUNCTION("""COMPUTED_VALUE"""),"History")</f>
        <v>History</v>
      </c>
      <c r="K78" s="13">
        <f ca="1">IFERROR(__xludf.DUMMYFUNCTION("""COMPUTED_VALUE"""),41530)</f>
        <v>41530</v>
      </c>
      <c r="L78" s="12"/>
      <c r="M78" s="12"/>
      <c r="N78" s="12" t="str">
        <f ca="1">IFERROR(__xludf.DUMMYFUNCTION("""COMPUTED_VALUE"""),"Table1")</f>
        <v>Table1</v>
      </c>
    </row>
    <row r="79" spans="1:14" ht="15.75" customHeight="1" x14ac:dyDescent="0.35">
      <c r="A79" s="12" t="str">
        <f ca="1">IFERROR(__xludf.DUMMYFUNCTION("""COMPUTED_VALUE"""),"Witmer, Timothy Z")</f>
        <v>Witmer, Timothy Z</v>
      </c>
      <c r="B79" s="12" t="str">
        <f ca="1">IFERROR(__xludf.DUMMYFUNCTION("""COMPUTED_VALUE""")," Timothy Z Witmer")</f>
        <v xml:space="preserve"> Timothy Z Witmer</v>
      </c>
      <c r="C79" s="12" t="str">
        <f ca="1">IFERROR(__xludf.DUMMYFUNCTION("""COMPUTED_VALUE"""),"The Shepherd Leader")</f>
        <v>The Shepherd Leader</v>
      </c>
      <c r="D79" s="4"/>
      <c r="E79" s="12" t="str">
        <f ca="1">IFERROR(__xludf.DUMMYFUNCTION("""COMPUTED_VALUE"""),"Book")</f>
        <v>Book</v>
      </c>
      <c r="F79" s="12" t="str">
        <f ca="1">IFERROR(__xludf.DUMMYFUNCTION("""COMPUTED_VALUE"""),"Church")</f>
        <v>Church</v>
      </c>
      <c r="G79" s="12"/>
      <c r="H79" s="12"/>
      <c r="I79" s="12"/>
      <c r="J79" s="12" t="str">
        <f ca="1">IFERROR(__xludf.DUMMYFUNCTION("""COMPUTED_VALUE"""),"Church Leaders")</f>
        <v>Church Leaders</v>
      </c>
      <c r="K79" s="13">
        <f ca="1">IFERROR(__xludf.DUMMYFUNCTION("""COMPUTED_VALUE"""),42966)</f>
        <v>42966</v>
      </c>
      <c r="L79" s="12"/>
      <c r="M79" s="12"/>
      <c r="N79" s="12" t="str">
        <f ca="1">IFERROR(__xludf.DUMMYFUNCTION("""COMPUTED_VALUE"""),"Table1")</f>
        <v>Table1</v>
      </c>
    </row>
    <row r="80" spans="1:14" ht="15.75" customHeight="1" x14ac:dyDescent="0.35">
      <c r="A80" s="12"/>
      <c r="B80" s="12"/>
      <c r="C80" s="12" t="str">
        <f ca="1">IFERROR(__xludf.DUMMYFUNCTION("""COMPUTED_VALUE"""),"Already Gone: Why Your Kids Will Quit Church . . .")</f>
        <v>Already Gone: Why Your Kids Will Quit Church . . .</v>
      </c>
      <c r="D80" s="4"/>
      <c r="E80" s="12" t="str">
        <f ca="1">IFERROR(__xludf.DUMMYFUNCTION("""COMPUTED_VALUE"""),"DVD")</f>
        <v>DVD</v>
      </c>
      <c r="F80" s="12"/>
      <c r="G80" s="12"/>
      <c r="H80" s="12"/>
      <c r="I80" s="12"/>
      <c r="J80" s="12"/>
      <c r="K80" s="13">
        <f ca="1">IFERROR(__xludf.DUMMYFUNCTION("""COMPUTED_VALUE"""),40188)</f>
        <v>40188</v>
      </c>
      <c r="L80" s="12" t="str">
        <f ca="1">IFERROR(__xludf.DUMMYFUNCTION("""COMPUTED_VALUE"""),"Checked out on 3/7/16; follow up on whether this was returned")</f>
        <v>Checked out on 3/7/16; follow up on whether this was returned</v>
      </c>
      <c r="M80" s="12"/>
      <c r="N80" s="12" t="str">
        <f ca="1">IFERROR(__xludf.DUMMYFUNCTION("""COMPUTED_VALUE"""),"Table2")</f>
        <v>Table2</v>
      </c>
    </row>
    <row r="81" spans="1:14" ht="15.75" customHeight="1" x14ac:dyDescent="0.35">
      <c r="A81" s="12"/>
      <c r="B81" s="12"/>
      <c r="C81" s="12" t="str">
        <f ca="1">IFERROR(__xludf.DUMMYFUNCTION("""COMPUTED_VALUE"""),"The Deliberate Church: Building Your Ministry on the Gospel")</f>
        <v>The Deliberate Church: Building Your Ministry on the Gospel</v>
      </c>
      <c r="D81" s="4"/>
      <c r="E81" s="12" t="str">
        <f ca="1">IFERROR(__xludf.DUMMYFUNCTION("""COMPUTED_VALUE"""),"DVD")</f>
        <v>DVD</v>
      </c>
      <c r="F81" s="12"/>
      <c r="G81" s="12"/>
      <c r="H81" s="12"/>
      <c r="I81" s="12"/>
      <c r="J81" s="12"/>
      <c r="K81" s="13"/>
      <c r="L81" s="12"/>
      <c r="M81" s="12" t="str">
        <f ca="1">IFERROR(__xludf.DUMMYFUNCTION("""COMPUTED_VALUE"""),"Dever, Mark; Alexander, Paul")</f>
        <v>Dever, Mark; Alexander, Paul</v>
      </c>
      <c r="N81" s="12" t="str">
        <f ca="1">IFERROR(__xludf.DUMMYFUNCTION("""COMPUTED_VALUE"""),"Table2")</f>
        <v>Table2</v>
      </c>
    </row>
    <row r="82" spans="1:14" ht="15.75" customHeight="1" x14ac:dyDescent="0.35">
      <c r="A82" s="12"/>
      <c r="B82" s="12"/>
      <c r="C82" s="12" t="str">
        <f ca="1">IFERROR(__xludf.DUMMYFUNCTION("""COMPUTED_VALUE"""),"Marks of a Healthy Church")</f>
        <v>Marks of a Healthy Church</v>
      </c>
      <c r="D82" s="4"/>
      <c r="E82" s="12" t="str">
        <f ca="1">IFERROR(__xludf.DUMMYFUNCTION("""COMPUTED_VALUE"""),"DVD")</f>
        <v>DVD</v>
      </c>
      <c r="F82" s="12"/>
      <c r="G82" s="12"/>
      <c r="H82" s="12"/>
      <c r="I82" s="12"/>
      <c r="J82" s="12"/>
      <c r="K82" s="13"/>
      <c r="L82" s="12"/>
      <c r="M82" s="12" t="str">
        <f ca="1">IFERROR(__xludf.DUMMYFUNCTION("""COMPUTED_VALUE"""),"Dever, Mark; Leeman, Jonathan")</f>
        <v>Dever, Mark; Leeman, Jonathan</v>
      </c>
      <c r="N82" s="12" t="str">
        <f ca="1">IFERROR(__xludf.DUMMYFUNCTION("""COMPUTED_VALUE"""),"Table2")</f>
        <v>Table2</v>
      </c>
    </row>
    <row r="83" spans="1:14" ht="15.75" customHeight="1" x14ac:dyDescent="0.35">
      <c r="A83" s="12"/>
      <c r="B83" s="12"/>
      <c r="C83" s="12" t="str">
        <f ca="1">IFERROR(__xludf.DUMMYFUNCTION("""COMPUTED_VALUE"""),"Six Steps to Loving Your Church")</f>
        <v>Six Steps to Loving Your Church</v>
      </c>
      <c r="D83" s="4"/>
      <c r="E83" s="12" t="str">
        <f ca="1">IFERROR(__xludf.DUMMYFUNCTION("""COMPUTED_VALUE"""),"DVD")</f>
        <v>DVD</v>
      </c>
      <c r="F83" s="12"/>
      <c r="G83" s="12"/>
      <c r="H83" s="12"/>
      <c r="I83" s="12"/>
      <c r="J83" s="12"/>
      <c r="K83" s="13">
        <f ca="1">IFERROR(__xludf.DUMMYFUNCTION("""COMPUTED_VALUE"""),42966)</f>
        <v>42966</v>
      </c>
      <c r="L83" s="12"/>
      <c r="M83" s="12"/>
      <c r="N83" s="12" t="str">
        <f ca="1">IFERROR(__xludf.DUMMYFUNCTION("""COMPUTED_VALUE"""),"Table2")</f>
        <v>Table2</v>
      </c>
    </row>
    <row r="84" spans="1:14" ht="15.75" customHeight="1" x14ac:dyDescent="0.35">
      <c r="A84" s="12"/>
      <c r="B84" s="12"/>
      <c r="C84" s="12" t="str">
        <f ca="1">IFERROR(__xludf.DUMMYFUNCTION("""COMPUTED_VALUE"""),"Case Against the R-Rated Church")</f>
        <v>Case Against the R-Rated Church</v>
      </c>
      <c r="D84" s="4"/>
      <c r="E84" s="12" t="str">
        <f ca="1">IFERROR(__xludf.DUMMYFUNCTION("""COMPUTED_VALUE"""),"CD")</f>
        <v>CD</v>
      </c>
      <c r="F84" s="12"/>
      <c r="G84" s="12"/>
      <c r="H84" s="12"/>
      <c r="I84" s="12"/>
      <c r="J84" s="12"/>
      <c r="K84" s="13"/>
      <c r="L84" s="12"/>
      <c r="M84" s="12" t="str">
        <f ca="1">IFERROR(__xludf.DUMMYFUNCTION("""COMPUTED_VALUE"""),"MacArthur, John")</f>
        <v>MacArthur, John</v>
      </c>
      <c r="N84" s="12" t="str">
        <f ca="1">IFERROR(__xludf.DUMMYFUNCTION("""COMPUTED_VALUE"""),"Table3")</f>
        <v>Table3</v>
      </c>
    </row>
    <row r="85" spans="1:14" ht="15.75" customHeight="1" x14ac:dyDescent="0.35">
      <c r="A85" s="12"/>
      <c r="B85" s="12"/>
      <c r="C85" s="12" t="str">
        <f ca="1">IFERROR(__xludf.DUMMYFUNCTION("""COMPUTED_VALUE"""),"How to Identify Terrorists in the Church")</f>
        <v>How to Identify Terrorists in the Church</v>
      </c>
      <c r="D85" s="4"/>
      <c r="E85" s="12" t="str">
        <f ca="1">IFERROR(__xludf.DUMMYFUNCTION("""COMPUTED_VALUE"""),"CD")</f>
        <v>CD</v>
      </c>
      <c r="F85" s="12"/>
      <c r="G85" s="12"/>
      <c r="H85" s="12"/>
      <c r="I85" s="12"/>
      <c r="J85" s="12"/>
      <c r="K85" s="13"/>
      <c r="L85" s="12"/>
      <c r="M85" s="12" t="str">
        <f ca="1">IFERROR(__xludf.DUMMYFUNCTION("""COMPUTED_VALUE"""),"MacArthur, John")</f>
        <v>MacArthur, John</v>
      </c>
      <c r="N85" s="12" t="str">
        <f ca="1">IFERROR(__xludf.DUMMYFUNCTION("""COMPUTED_VALUE"""),"Table3")</f>
        <v>Table3</v>
      </c>
    </row>
    <row r="86" spans="1:14" ht="15.75" customHeight="1" x14ac:dyDescent="0.35">
      <c r="A86" s="12"/>
      <c r="B86" s="12"/>
      <c r="C86" s="12" t="str">
        <f ca="1">IFERROR(__xludf.DUMMYFUNCTION("""COMPUTED_VALUE"""),"Straight Talk About the Seeker Church Movement")</f>
        <v>Straight Talk About the Seeker Church Movement</v>
      </c>
      <c r="D86" s="4"/>
      <c r="E86" s="12" t="str">
        <f ca="1">IFERROR(__xludf.DUMMYFUNCTION("""COMPUTED_VALUE"""),"CD")</f>
        <v>CD</v>
      </c>
      <c r="F86" s="12"/>
      <c r="G86" s="12"/>
      <c r="H86" s="12"/>
      <c r="I86" s="12"/>
      <c r="J86" s="12"/>
      <c r="K86" s="13"/>
      <c r="L86" s="12"/>
      <c r="M86" s="12" t="str">
        <f ca="1">IFERROR(__xludf.DUMMYFUNCTION("""COMPUTED_VALUE"""),"MacArthur, John")</f>
        <v>MacArthur, John</v>
      </c>
      <c r="N86" s="12" t="str">
        <f ca="1">IFERROR(__xludf.DUMMYFUNCTION("""COMPUTED_VALUE"""),"Table3")</f>
        <v>Table3</v>
      </c>
    </row>
    <row r="87" spans="1:14" ht="15.75" customHeight="1" x14ac:dyDescent="0.35">
      <c r="A87" s="12"/>
      <c r="B87" s="12"/>
      <c r="C87" s="12" t="str">
        <f ca="1">IFERROR(__xludf.DUMMYFUNCTION("""COMPUTED_VALUE"""),"What's So Dangerous About the Emerging Church?")</f>
        <v>What's So Dangerous About the Emerging Church?</v>
      </c>
      <c r="D87" s="4"/>
      <c r="E87" s="12" t="str">
        <f ca="1">IFERROR(__xludf.DUMMYFUNCTION("""COMPUTED_VALUE"""),"CD")</f>
        <v>CD</v>
      </c>
      <c r="F87" s="12"/>
      <c r="G87" s="12"/>
      <c r="H87" s="12"/>
      <c r="I87" s="12"/>
      <c r="J87" s="12"/>
      <c r="K87" s="13"/>
      <c r="L87" s="12"/>
      <c r="M87" s="12" t="str">
        <f ca="1">IFERROR(__xludf.DUMMYFUNCTION("""COMPUTED_VALUE"""),"MacArthur, John")</f>
        <v>MacArthur, John</v>
      </c>
      <c r="N87" s="12" t="str">
        <f ca="1">IFERROR(__xludf.DUMMYFUNCTION("""COMPUTED_VALUE"""),"Table3")</f>
        <v>Table3</v>
      </c>
    </row>
    <row r="88" spans="1:14" ht="15.75" customHeight="1" x14ac:dyDescent="0.35">
      <c r="A88" s="12"/>
      <c r="B88" s="12"/>
      <c r="C88" s="12" t="str">
        <f ca="1">IFERROR(__xludf.DUMMYFUNCTION("""COMPUTED_VALUE"""),"Why I Love the Church")</f>
        <v>Why I Love the Church</v>
      </c>
      <c r="D88" s="4"/>
      <c r="E88" s="12" t="str">
        <f ca="1">IFERROR(__xludf.DUMMYFUNCTION("""COMPUTED_VALUE"""),"CD")</f>
        <v>CD</v>
      </c>
      <c r="F88" s="12"/>
      <c r="G88" s="12"/>
      <c r="H88" s="12"/>
      <c r="I88" s="12"/>
      <c r="J88" s="12"/>
      <c r="K88" s="13"/>
      <c r="L88" s="12"/>
      <c r="M88" s="12" t="str">
        <f ca="1">IFERROR(__xludf.DUMMYFUNCTION("""COMPUTED_VALUE"""),"MacArthur, John")</f>
        <v>MacArthur, John</v>
      </c>
      <c r="N88" s="12" t="str">
        <f ca="1">IFERROR(__xludf.DUMMYFUNCTION("""COMPUTED_VALUE"""),"Table3")</f>
        <v>Table3</v>
      </c>
    </row>
    <row r="89" spans="1:14" ht="15.75" customHeight="1" x14ac:dyDescent="0.35">
      <c r="D89" s="4"/>
    </row>
    <row r="90" spans="1:14" ht="15.75" customHeight="1" x14ac:dyDescent="0.35">
      <c r="D90" s="4"/>
    </row>
    <row r="91" spans="1:14" ht="15.75" customHeight="1" x14ac:dyDescent="0.35">
      <c r="D91" s="4"/>
    </row>
    <row r="92" spans="1:14" ht="15.75" customHeight="1" x14ac:dyDescent="0.35">
      <c r="D92" s="4"/>
    </row>
    <row r="93" spans="1:14" ht="15.75" customHeight="1" x14ac:dyDescent="0.35">
      <c r="D93" s="4"/>
    </row>
    <row r="94" spans="1:14" ht="15.75" customHeight="1" x14ac:dyDescent="0.35">
      <c r="D94" s="4"/>
    </row>
    <row r="95" spans="1:14" ht="15.75" customHeight="1" x14ac:dyDescent="0.35">
      <c r="D95" s="4"/>
    </row>
    <row r="96" spans="1:14" ht="15.75" customHeight="1" x14ac:dyDescent="0.35">
      <c r="D96" s="4"/>
    </row>
    <row r="97" spans="4:4" ht="15.75" customHeight="1" x14ac:dyDescent="0.35">
      <c r="D97" s="4"/>
    </row>
    <row r="98" spans="4:4" ht="15.75" customHeight="1" x14ac:dyDescent="0.35">
      <c r="D98" s="4"/>
    </row>
    <row r="99" spans="4:4" ht="15.75" customHeight="1" x14ac:dyDescent="0.35">
      <c r="D99" s="4"/>
    </row>
    <row r="100" spans="4:4" ht="15.75" customHeight="1" x14ac:dyDescent="0.35">
      <c r="D100" s="4"/>
    </row>
    <row r="101" spans="4:4" ht="15.75" customHeight="1" x14ac:dyDescent="0.35">
      <c r="D101" s="4"/>
    </row>
    <row r="102" spans="4:4" ht="15.75" customHeight="1" x14ac:dyDescent="0.35">
      <c r="D102" s="4"/>
    </row>
    <row r="103" spans="4:4" ht="15.75" customHeight="1" x14ac:dyDescent="0.35">
      <c r="D103" s="4"/>
    </row>
    <row r="104" spans="4:4" ht="15.75" customHeight="1" x14ac:dyDescent="0.35">
      <c r="D104" s="4"/>
    </row>
    <row r="105" spans="4:4" ht="15.75" customHeight="1" x14ac:dyDescent="0.35">
      <c r="D105" s="4"/>
    </row>
    <row r="106" spans="4:4" ht="15.75" customHeight="1" x14ac:dyDescent="0.35">
      <c r="D106" s="4"/>
    </row>
    <row r="107" spans="4:4" ht="15.75" customHeight="1" x14ac:dyDescent="0.35">
      <c r="D107" s="4"/>
    </row>
    <row r="108" spans="4:4" ht="15.75" customHeight="1" x14ac:dyDescent="0.35">
      <c r="D108" s="4"/>
    </row>
    <row r="109" spans="4:4" ht="15.75" customHeight="1" x14ac:dyDescent="0.35">
      <c r="D109" s="4"/>
    </row>
    <row r="110" spans="4:4" ht="15.75" customHeight="1" x14ac:dyDescent="0.35">
      <c r="D110" s="4"/>
    </row>
    <row r="111" spans="4:4" ht="15.75" customHeight="1" x14ac:dyDescent="0.35">
      <c r="D111" s="4"/>
    </row>
    <row r="112" spans="4:4" ht="15.75" customHeight="1" x14ac:dyDescent="0.35">
      <c r="D112" s="4"/>
    </row>
    <row r="113" spans="4:4" ht="15.75" customHeight="1" x14ac:dyDescent="0.35">
      <c r="D113" s="4"/>
    </row>
    <row r="114" spans="4:4" ht="15.75" customHeight="1" x14ac:dyDescent="0.35">
      <c r="D114" s="4"/>
    </row>
    <row r="115" spans="4:4" ht="15.75" customHeight="1" x14ac:dyDescent="0.35">
      <c r="D115" s="4"/>
    </row>
    <row r="116" spans="4:4" ht="15.75" customHeight="1" x14ac:dyDescent="0.35">
      <c r="D116" s="4"/>
    </row>
    <row r="117" spans="4:4" ht="15.75" customHeight="1" x14ac:dyDescent="0.35">
      <c r="D117" s="4"/>
    </row>
    <row r="118" spans="4:4" ht="15.75" customHeight="1" x14ac:dyDescent="0.35">
      <c r="D118" s="4"/>
    </row>
    <row r="119" spans="4:4" ht="15.75" customHeight="1" x14ac:dyDescent="0.35">
      <c r="D119" s="4"/>
    </row>
    <row r="120" spans="4:4" ht="15.75" customHeight="1" x14ac:dyDescent="0.35">
      <c r="D120" s="4"/>
    </row>
    <row r="121" spans="4:4" ht="15.75" customHeight="1" x14ac:dyDescent="0.35">
      <c r="D121" s="4"/>
    </row>
    <row r="122" spans="4:4" ht="15.75" customHeight="1" x14ac:dyDescent="0.35">
      <c r="D122" s="4"/>
    </row>
    <row r="123" spans="4:4" ht="15.75" customHeight="1" x14ac:dyDescent="0.35">
      <c r="D123" s="4"/>
    </row>
    <row r="124" spans="4:4" ht="15.75" customHeight="1" x14ac:dyDescent="0.35">
      <c r="D124" s="4"/>
    </row>
    <row r="125" spans="4:4" ht="15.75" customHeight="1" x14ac:dyDescent="0.35">
      <c r="D125" s="4"/>
    </row>
    <row r="126" spans="4:4" ht="15.75" customHeight="1" x14ac:dyDescent="0.35">
      <c r="D126" s="4"/>
    </row>
    <row r="127" spans="4:4" ht="15.75" customHeight="1" x14ac:dyDescent="0.35">
      <c r="D127" s="4"/>
    </row>
    <row r="128" spans="4:4" ht="15.75" customHeight="1" x14ac:dyDescent="0.35">
      <c r="D128" s="4"/>
    </row>
    <row r="129" spans="4:4" ht="15.75" customHeight="1" x14ac:dyDescent="0.35">
      <c r="D129" s="4"/>
    </row>
    <row r="130" spans="4:4" ht="15.75" customHeight="1" x14ac:dyDescent="0.35">
      <c r="D130" s="4"/>
    </row>
    <row r="131" spans="4:4" ht="15.75" customHeight="1" x14ac:dyDescent="0.35">
      <c r="D131" s="4"/>
    </row>
    <row r="132" spans="4:4" ht="15.75" customHeight="1" x14ac:dyDescent="0.35">
      <c r="D132" s="4"/>
    </row>
    <row r="133" spans="4:4" ht="15.75" customHeight="1" x14ac:dyDescent="0.35">
      <c r="D133" s="4"/>
    </row>
    <row r="134" spans="4:4" ht="15.75" customHeight="1" x14ac:dyDescent="0.35">
      <c r="D134" s="4"/>
    </row>
    <row r="135" spans="4:4" ht="15.75" customHeight="1" x14ac:dyDescent="0.35">
      <c r="D135" s="4"/>
    </row>
    <row r="136" spans="4:4" ht="15.75" customHeight="1" x14ac:dyDescent="0.35">
      <c r="D136" s="4"/>
    </row>
    <row r="137" spans="4:4" ht="15.75" customHeight="1" x14ac:dyDescent="0.35">
      <c r="D137" s="4"/>
    </row>
    <row r="138" spans="4:4" ht="15.75" customHeight="1" x14ac:dyDescent="0.35">
      <c r="D138" s="4"/>
    </row>
    <row r="139" spans="4:4" ht="15.75" customHeight="1" x14ac:dyDescent="0.35">
      <c r="D139" s="4"/>
    </row>
    <row r="140" spans="4:4" ht="15.75" customHeight="1" x14ac:dyDescent="0.35">
      <c r="D140" s="4"/>
    </row>
    <row r="141" spans="4:4" ht="15.75" customHeight="1" x14ac:dyDescent="0.35">
      <c r="D141" s="4"/>
    </row>
    <row r="142" spans="4:4" ht="15.75" customHeight="1" x14ac:dyDescent="0.35">
      <c r="D142" s="4"/>
    </row>
    <row r="143" spans="4:4" ht="15.75" customHeight="1" x14ac:dyDescent="0.35">
      <c r="D143" s="4"/>
    </row>
    <row r="144" spans="4:4" ht="15.75" customHeight="1" x14ac:dyDescent="0.35">
      <c r="D144" s="4"/>
    </row>
    <row r="145" spans="4:4" ht="15.75" customHeight="1" x14ac:dyDescent="0.35">
      <c r="D145" s="4"/>
    </row>
    <row r="146" spans="4:4" ht="15.75" customHeight="1" x14ac:dyDescent="0.35">
      <c r="D146" s="4"/>
    </row>
    <row r="147" spans="4:4" ht="15.75" customHeight="1" x14ac:dyDescent="0.35">
      <c r="D147" s="4"/>
    </row>
    <row r="148" spans="4:4" ht="15.75" customHeight="1" x14ac:dyDescent="0.35">
      <c r="D148" s="4"/>
    </row>
    <row r="149" spans="4:4" ht="15.75" customHeight="1" x14ac:dyDescent="0.35">
      <c r="D149" s="4"/>
    </row>
    <row r="150" spans="4:4" ht="15.75" customHeight="1" x14ac:dyDescent="0.35">
      <c r="D150" s="4"/>
    </row>
    <row r="151" spans="4:4" ht="15.75" customHeight="1" x14ac:dyDescent="0.35">
      <c r="D151" s="4"/>
    </row>
    <row r="152" spans="4:4" ht="15.75" customHeight="1" x14ac:dyDescent="0.35">
      <c r="D152" s="4"/>
    </row>
    <row r="153" spans="4:4" ht="15.75" customHeight="1" x14ac:dyDescent="0.35">
      <c r="D153" s="4"/>
    </row>
    <row r="154" spans="4:4" ht="15.75" customHeight="1" x14ac:dyDescent="0.35">
      <c r="D154" s="4"/>
    </row>
    <row r="155" spans="4:4" ht="15.75" customHeight="1" x14ac:dyDescent="0.35">
      <c r="D155" s="4"/>
    </row>
    <row r="156" spans="4:4" ht="15.75" customHeight="1" x14ac:dyDescent="0.35">
      <c r="D156" s="4"/>
    </row>
    <row r="157" spans="4:4" ht="15.75" customHeight="1" x14ac:dyDescent="0.35">
      <c r="D157" s="4"/>
    </row>
    <row r="158" spans="4:4" ht="15.75" customHeight="1" x14ac:dyDescent="0.35">
      <c r="D158" s="4"/>
    </row>
    <row r="159" spans="4:4" ht="15.75" customHeight="1" x14ac:dyDescent="0.35">
      <c r="D159" s="4"/>
    </row>
    <row r="160" spans="4:4" ht="15.75" customHeight="1" x14ac:dyDescent="0.35">
      <c r="D160" s="4"/>
    </row>
    <row r="161" spans="4:4" ht="15.75" customHeight="1" x14ac:dyDescent="0.35">
      <c r="D161" s="4"/>
    </row>
    <row r="162" spans="4:4" ht="15.75" customHeight="1" x14ac:dyDescent="0.35">
      <c r="D162" s="4"/>
    </row>
    <row r="163" spans="4:4" ht="15.75" customHeight="1" x14ac:dyDescent="0.35">
      <c r="D163" s="4"/>
    </row>
    <row r="164" spans="4:4" ht="15.75" customHeight="1" x14ac:dyDescent="0.35">
      <c r="D164" s="4"/>
    </row>
    <row r="165" spans="4:4" ht="15.75" customHeight="1" x14ac:dyDescent="0.35">
      <c r="D165" s="4"/>
    </row>
    <row r="166" spans="4:4" ht="15.75" customHeight="1" x14ac:dyDescent="0.35">
      <c r="D166" s="4"/>
    </row>
    <row r="167" spans="4:4" ht="15.75" customHeight="1" x14ac:dyDescent="0.35">
      <c r="D167" s="4"/>
    </row>
    <row r="168" spans="4:4" ht="15.75" customHeight="1" x14ac:dyDescent="0.35">
      <c r="D168" s="4"/>
    </row>
    <row r="169" spans="4:4" ht="15.75" customHeight="1" x14ac:dyDescent="0.35">
      <c r="D169" s="4"/>
    </row>
    <row r="170" spans="4:4" ht="15.75" customHeight="1" x14ac:dyDescent="0.35">
      <c r="D170" s="4"/>
    </row>
    <row r="171" spans="4:4" ht="15.75" customHeight="1" x14ac:dyDescent="0.35">
      <c r="D171" s="4"/>
    </row>
    <row r="172" spans="4:4" ht="15.75" customHeight="1" x14ac:dyDescent="0.35">
      <c r="D172" s="4"/>
    </row>
    <row r="173" spans="4:4" ht="15.75" customHeight="1" x14ac:dyDescent="0.35">
      <c r="D173" s="4"/>
    </row>
    <row r="174" spans="4:4" ht="15.75" customHeight="1" x14ac:dyDescent="0.35">
      <c r="D174" s="4"/>
    </row>
    <row r="175" spans="4:4" ht="15.75" customHeight="1" x14ac:dyDescent="0.35">
      <c r="D175" s="4"/>
    </row>
    <row r="176" spans="4:4" ht="15.75" customHeight="1" x14ac:dyDescent="0.35">
      <c r="D176" s="4"/>
    </row>
    <row r="177" spans="4:4" ht="15.75" customHeight="1" x14ac:dyDescent="0.35">
      <c r="D177" s="4"/>
    </row>
    <row r="178" spans="4:4" ht="15.75" customHeight="1" x14ac:dyDescent="0.35">
      <c r="D178" s="4"/>
    </row>
    <row r="179" spans="4:4" ht="15.75" customHeight="1" x14ac:dyDescent="0.35">
      <c r="D179" s="4"/>
    </row>
    <row r="180" spans="4:4" ht="15.75" customHeight="1" x14ac:dyDescent="0.35">
      <c r="D180" s="4"/>
    </row>
    <row r="181" spans="4:4" ht="15.75" customHeight="1" x14ac:dyDescent="0.35">
      <c r="D181" s="4"/>
    </row>
    <row r="182" spans="4:4" ht="15.75" customHeight="1" x14ac:dyDescent="0.35">
      <c r="D182" s="4"/>
    </row>
    <row r="183" spans="4:4" ht="15.75" customHeight="1" x14ac:dyDescent="0.35">
      <c r="D183" s="4"/>
    </row>
    <row r="184" spans="4:4" ht="15.75" customHeight="1" x14ac:dyDescent="0.35">
      <c r="D184" s="4"/>
    </row>
    <row r="185" spans="4:4" ht="15.75" customHeight="1" x14ac:dyDescent="0.35">
      <c r="D185" s="4"/>
    </row>
    <row r="186" spans="4:4" ht="15.75" customHeight="1" x14ac:dyDescent="0.35">
      <c r="D186" s="4"/>
    </row>
    <row r="187" spans="4:4" ht="15.75" customHeight="1" x14ac:dyDescent="0.35">
      <c r="D187" s="4"/>
    </row>
    <row r="188" spans="4:4" ht="15.75" customHeight="1" x14ac:dyDescent="0.35">
      <c r="D188" s="4"/>
    </row>
    <row r="189" spans="4:4" ht="15.75" customHeight="1" x14ac:dyDescent="0.35">
      <c r="D189" s="4"/>
    </row>
    <row r="190" spans="4:4" ht="15.75" customHeight="1" x14ac:dyDescent="0.35">
      <c r="D190" s="4"/>
    </row>
    <row r="191" spans="4:4" ht="15.75" customHeight="1" x14ac:dyDescent="0.35">
      <c r="D191" s="4"/>
    </row>
    <row r="192" spans="4:4" ht="15.75" customHeight="1" x14ac:dyDescent="0.35">
      <c r="D192" s="4"/>
    </row>
    <row r="193" spans="4:4" ht="15.75" customHeight="1" x14ac:dyDescent="0.35">
      <c r="D193" s="4"/>
    </row>
    <row r="194" spans="4:4" ht="15.75" customHeight="1" x14ac:dyDescent="0.35">
      <c r="D194" s="4"/>
    </row>
    <row r="195" spans="4:4" ht="15.75" customHeight="1" x14ac:dyDescent="0.35">
      <c r="D195" s="4"/>
    </row>
    <row r="196" spans="4:4" ht="15.75" customHeight="1" x14ac:dyDescent="0.35">
      <c r="D196" s="4"/>
    </row>
    <row r="197" spans="4:4" ht="15.75" customHeight="1" x14ac:dyDescent="0.35">
      <c r="D197" s="4"/>
    </row>
    <row r="198" spans="4:4" ht="15.75" customHeight="1" x14ac:dyDescent="0.35">
      <c r="D198" s="4"/>
    </row>
    <row r="199" spans="4:4" ht="15.75" customHeight="1" x14ac:dyDescent="0.35">
      <c r="D199" s="4"/>
    </row>
    <row r="200" spans="4:4" ht="15.75" customHeight="1" x14ac:dyDescent="0.35">
      <c r="D200" s="4"/>
    </row>
    <row r="201" spans="4:4" ht="15.75" customHeight="1" x14ac:dyDescent="0.35">
      <c r="D201" s="4"/>
    </row>
    <row r="202" spans="4:4" ht="15.75" customHeight="1" x14ac:dyDescent="0.35">
      <c r="D202" s="4"/>
    </row>
    <row r="203" spans="4:4" ht="15.75" customHeight="1" x14ac:dyDescent="0.35">
      <c r="D203" s="4"/>
    </row>
    <row r="204" spans="4:4" ht="15.75" customHeight="1" x14ac:dyDescent="0.35">
      <c r="D204" s="4"/>
    </row>
    <row r="205" spans="4:4" ht="15.75" customHeight="1" x14ac:dyDescent="0.35">
      <c r="D205" s="4"/>
    </row>
    <row r="206" spans="4:4" ht="15.75" customHeight="1" x14ac:dyDescent="0.35">
      <c r="D206" s="4"/>
    </row>
    <row r="207" spans="4:4" ht="15.75" customHeight="1" x14ac:dyDescent="0.35">
      <c r="D207" s="4"/>
    </row>
    <row r="208" spans="4:4" ht="15.75" customHeight="1" x14ac:dyDescent="0.35">
      <c r="D208" s="4"/>
    </row>
    <row r="209" spans="4:4" ht="15.75" customHeight="1" x14ac:dyDescent="0.35">
      <c r="D209" s="4"/>
    </row>
    <row r="210" spans="4:4" ht="15.75" customHeight="1" x14ac:dyDescent="0.35">
      <c r="D210" s="4"/>
    </row>
    <row r="211" spans="4:4" ht="15.75" customHeight="1" x14ac:dyDescent="0.35">
      <c r="D211" s="4"/>
    </row>
    <row r="212" spans="4:4" ht="15.75" customHeight="1" x14ac:dyDescent="0.35">
      <c r="D212" s="4"/>
    </row>
    <row r="213" spans="4:4" ht="15.75" customHeight="1" x14ac:dyDescent="0.35">
      <c r="D213" s="4"/>
    </row>
    <row r="214" spans="4:4" ht="15.75" customHeight="1" x14ac:dyDescent="0.35">
      <c r="D214" s="4"/>
    </row>
    <row r="215" spans="4:4" ht="15.75" customHeight="1" x14ac:dyDescent="0.35">
      <c r="D215" s="4"/>
    </row>
    <row r="216" spans="4:4" ht="15.75" customHeight="1" x14ac:dyDescent="0.35">
      <c r="D216" s="4"/>
    </row>
    <row r="217" spans="4:4" ht="15.75" customHeight="1" x14ac:dyDescent="0.35">
      <c r="D217" s="4"/>
    </row>
    <row r="218" spans="4:4" ht="15.75" customHeight="1" x14ac:dyDescent="0.35">
      <c r="D218" s="4"/>
    </row>
    <row r="219" spans="4:4" ht="15.75" customHeight="1" x14ac:dyDescent="0.35">
      <c r="D219" s="4"/>
    </row>
    <row r="220" spans="4:4" ht="15.75" customHeight="1" x14ac:dyDescent="0.35">
      <c r="D220" s="4"/>
    </row>
    <row r="221" spans="4:4" ht="15.75" customHeight="1" x14ac:dyDescent="0.35"/>
    <row r="222" spans="4:4" ht="15.75" customHeight="1" x14ac:dyDescent="0.35"/>
    <row r="223" spans="4:4" ht="15.75" customHeight="1" x14ac:dyDescent="0.35"/>
    <row r="224" spans="4: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  <row r="1001" ht="15.75" customHeight="1" x14ac:dyDescent="0.35"/>
    <row r="1002" ht="15.75" customHeight="1" x14ac:dyDescent="0.35"/>
    <row r="1003" ht="15.75" customHeight="1" x14ac:dyDescent="0.35"/>
    <row r="1004" ht="15.75" customHeight="1" x14ac:dyDescent="0.35"/>
    <row r="1005" ht="15.75" customHeight="1" x14ac:dyDescent="0.35"/>
    <row r="1006" ht="15.75" customHeight="1" x14ac:dyDescent="0.35"/>
    <row r="1007" ht="15.75" customHeight="1" x14ac:dyDescent="0.35"/>
    <row r="1008" ht="15.75" customHeight="1" x14ac:dyDescent="0.35"/>
    <row r="1009" ht="15.75" customHeight="1" x14ac:dyDescent="0.35"/>
    <row r="1010" ht="15.75" customHeight="1" x14ac:dyDescent="0.35"/>
    <row r="1011" ht="15.75" customHeight="1" x14ac:dyDescent="0.35"/>
    <row r="1012" ht="15.75" customHeight="1" x14ac:dyDescent="0.35"/>
    <row r="1013" ht="15.75" customHeight="1" x14ac:dyDescent="0.35"/>
    <row r="1014" ht="15.75" customHeight="1" x14ac:dyDescent="0.35"/>
    <row r="1015" ht="15.75" customHeight="1" x14ac:dyDescent="0.35"/>
    <row r="1016" ht="15.75" customHeight="1" x14ac:dyDescent="0.35"/>
    <row r="1017" ht="15.75" customHeight="1" x14ac:dyDescent="0.35"/>
    <row r="1018" ht="15.75" customHeight="1" x14ac:dyDescent="0.35"/>
    <row r="1019" ht="15.75" customHeight="1" x14ac:dyDescent="0.35"/>
    <row r="1020" ht="15.75" customHeight="1" x14ac:dyDescent="0.35"/>
    <row r="1021" ht="15.75" customHeight="1" x14ac:dyDescent="0.35"/>
    <row r="1022" ht="15.75" customHeight="1" x14ac:dyDescent="0.35"/>
    <row r="1023" ht="15.75" customHeight="1" x14ac:dyDescent="0.35"/>
    <row r="1024" ht="15.75" customHeight="1" x14ac:dyDescent="0.35"/>
    <row r="1025" ht="15.75" customHeight="1" x14ac:dyDescent="0.35"/>
    <row r="1026" ht="15.75" customHeight="1" x14ac:dyDescent="0.35"/>
    <row r="1027" ht="15.75" customHeight="1" x14ac:dyDescent="0.35"/>
    <row r="1028" ht="15.75" customHeight="1" x14ac:dyDescent="0.35"/>
    <row r="1029" ht="15.75" customHeight="1" x14ac:dyDescent="0.35"/>
    <row r="1030" ht="15.75" customHeight="1" x14ac:dyDescent="0.35"/>
    <row r="1031" ht="15.75" customHeight="1" x14ac:dyDescent="0.35"/>
    <row r="1032" ht="15.75" customHeight="1" x14ac:dyDescent="0.35"/>
    <row r="1033" ht="15.75" customHeight="1" x14ac:dyDescent="0.35"/>
    <row r="1034" ht="15.75" customHeight="1" x14ac:dyDescent="0.35"/>
    <row r="1035" ht="15.75" customHeight="1" x14ac:dyDescent="0.35"/>
    <row r="1036" ht="15.75" customHeight="1" x14ac:dyDescent="0.35"/>
    <row r="1037" ht="15.75" customHeight="1" x14ac:dyDescent="0.35"/>
    <row r="1038" ht="15.75" customHeight="1" x14ac:dyDescent="0.35"/>
    <row r="1039" ht="15.75" customHeight="1" x14ac:dyDescent="0.35"/>
    <row r="1040" ht="15.75" customHeight="1" x14ac:dyDescent="0.35"/>
    <row r="1041" ht="15.75" customHeight="1" x14ac:dyDescent="0.35"/>
    <row r="1042" ht="15.75" customHeight="1" x14ac:dyDescent="0.35"/>
    <row r="1043" ht="15.75" customHeight="1" x14ac:dyDescent="0.35"/>
    <row r="1044" ht="15.75" customHeight="1" x14ac:dyDescent="0.35"/>
    <row r="1045" ht="15.75" customHeight="1" x14ac:dyDescent="0.35"/>
    <row r="1046" ht="15.75" customHeight="1" x14ac:dyDescent="0.35"/>
    <row r="1047" ht="15.75" customHeight="1" x14ac:dyDescent="0.35"/>
    <row r="1048" ht="15.75" customHeight="1" x14ac:dyDescent="0.35"/>
    <row r="1049" ht="15.75" customHeight="1" x14ac:dyDescent="0.35"/>
    <row r="1050" ht="15.75" customHeight="1" x14ac:dyDescent="0.35"/>
    <row r="1051" ht="15.75" customHeight="1" x14ac:dyDescent="0.35"/>
    <row r="1052" ht="15.75" customHeight="1" x14ac:dyDescent="0.35"/>
    <row r="1053" ht="15.75" customHeight="1" x14ac:dyDescent="0.35"/>
    <row r="1054" ht="15.75" customHeight="1" x14ac:dyDescent="0.35"/>
    <row r="1055" ht="15.75" customHeight="1" x14ac:dyDescent="0.35"/>
    <row r="1056" ht="15.75" customHeight="1" x14ac:dyDescent="0.35"/>
    <row r="1057" ht="15.75" customHeight="1" x14ac:dyDescent="0.35"/>
    <row r="1058" ht="15.75" customHeight="1" x14ac:dyDescent="0.35"/>
    <row r="1059" ht="15.75" customHeight="1" x14ac:dyDescent="0.35"/>
    <row r="1060" ht="15.75" customHeight="1" x14ac:dyDescent="0.35"/>
    <row r="1061" ht="15.75" customHeight="1" x14ac:dyDescent="0.35"/>
    <row r="1062" ht="15.75" customHeight="1" x14ac:dyDescent="0.35"/>
    <row r="1063" ht="15.75" customHeight="1" x14ac:dyDescent="0.35"/>
    <row r="1064" ht="15.75" customHeight="1" x14ac:dyDescent="0.35"/>
    <row r="1065" ht="15.75" customHeight="1" x14ac:dyDescent="0.35"/>
    <row r="1066" ht="15.75" customHeight="1" x14ac:dyDescent="0.35"/>
    <row r="1067" ht="15.75" customHeight="1" x14ac:dyDescent="0.35"/>
    <row r="1068" ht="15.75" customHeight="1" x14ac:dyDescent="0.35"/>
    <row r="1069" ht="15.75" customHeight="1" x14ac:dyDescent="0.35"/>
    <row r="1070" ht="15.75" customHeight="1" x14ac:dyDescent="0.35"/>
    <row r="1071" ht="15.75" customHeight="1" x14ac:dyDescent="0.35"/>
    <row r="1072" ht="15.75" customHeight="1" x14ac:dyDescent="0.35"/>
    <row r="1073" ht="15.75" customHeight="1" x14ac:dyDescent="0.35"/>
    <row r="1074" ht="15.75" customHeight="1" x14ac:dyDescent="0.35"/>
    <row r="1075" ht="15.75" customHeight="1" x14ac:dyDescent="0.35"/>
    <row r="1076" ht="15.75" customHeight="1" x14ac:dyDescent="0.35"/>
    <row r="1077" ht="15.75" customHeight="1" x14ac:dyDescent="0.35"/>
    <row r="1078" ht="15.75" customHeight="1" x14ac:dyDescent="0.35"/>
    <row r="1079" ht="15.75" customHeight="1" x14ac:dyDescent="0.35"/>
    <row r="1080" ht="15.75" customHeight="1" x14ac:dyDescent="0.35"/>
    <row r="1081" ht="15.75" customHeight="1" x14ac:dyDescent="0.35"/>
    <row r="1082" ht="15.75" customHeight="1" x14ac:dyDescent="0.35"/>
    <row r="1083" ht="15.75" customHeight="1" x14ac:dyDescent="0.35"/>
    <row r="1084" ht="15.75" customHeight="1" x14ac:dyDescent="0.35"/>
    <row r="1085" ht="15.75" customHeight="1" x14ac:dyDescent="0.35"/>
    <row r="1086" ht="15.75" customHeight="1" x14ac:dyDescent="0.35"/>
    <row r="1087" ht="15.75" customHeight="1" x14ac:dyDescent="0.35"/>
    <row r="1088" ht="15.75" customHeight="1" x14ac:dyDescent="0.35"/>
    <row r="1089" ht="15.75" customHeight="1" x14ac:dyDescent="0.35"/>
    <row r="1090" ht="15.75" customHeight="1" x14ac:dyDescent="0.35"/>
    <row r="1091" ht="15.75" customHeight="1" x14ac:dyDescent="0.35"/>
    <row r="1092" ht="15.75" customHeight="1" x14ac:dyDescent="0.35"/>
    <row r="1093" ht="15.75" customHeight="1" x14ac:dyDescent="0.35"/>
    <row r="1094" ht="15.75" customHeight="1" x14ac:dyDescent="0.35"/>
    <row r="1095" ht="15.75" customHeight="1" x14ac:dyDescent="0.35"/>
    <row r="1096" ht="15.75" customHeight="1" x14ac:dyDescent="0.35"/>
    <row r="1097" ht="15.75" customHeight="1" x14ac:dyDescent="0.35"/>
    <row r="1098" ht="15.75" customHeight="1" x14ac:dyDescent="0.35"/>
    <row r="1099" ht="15.75" customHeight="1" x14ac:dyDescent="0.35"/>
    <row r="1100" ht="15.75" customHeight="1" x14ac:dyDescent="0.35"/>
    <row r="1101" ht="15.75" customHeight="1" x14ac:dyDescent="0.35"/>
    <row r="1102" ht="15.75" customHeight="1" x14ac:dyDescent="0.35"/>
    <row r="1103" ht="15.75" customHeight="1" x14ac:dyDescent="0.35"/>
    <row r="1104" ht="15.75" customHeight="1" x14ac:dyDescent="0.35"/>
    <row r="1105" ht="15.75" customHeight="1" x14ac:dyDescent="0.35"/>
    <row r="1106" ht="15.75" customHeight="1" x14ac:dyDescent="0.35"/>
    <row r="1107" ht="15.75" customHeight="1" x14ac:dyDescent="0.35"/>
    <row r="1108" ht="15.75" customHeight="1" x14ac:dyDescent="0.35"/>
    <row r="1109" ht="15.75" customHeight="1" x14ac:dyDescent="0.35"/>
    <row r="1110" ht="15.75" customHeight="1" x14ac:dyDescent="0.35"/>
    <row r="1111" ht="15.75" customHeight="1" x14ac:dyDescent="0.35"/>
    <row r="1112" ht="15.75" customHeight="1" x14ac:dyDescent="0.35"/>
    <row r="1113" ht="15.75" customHeight="1" x14ac:dyDescent="0.35"/>
    <row r="1114" ht="15.75" customHeight="1" x14ac:dyDescent="0.35"/>
    <row r="1115" ht="15.75" customHeight="1" x14ac:dyDescent="0.35"/>
    <row r="1116" ht="15.75" customHeight="1" x14ac:dyDescent="0.35"/>
    <row r="1117" ht="15.75" customHeight="1" x14ac:dyDescent="0.35"/>
    <row r="1118" ht="15.75" customHeight="1" x14ac:dyDescent="0.35"/>
    <row r="1119" ht="15.75" customHeight="1" x14ac:dyDescent="0.35"/>
    <row r="1120" ht="15.75" customHeight="1" x14ac:dyDescent="0.35"/>
    <row r="1121" ht="15.75" customHeight="1" x14ac:dyDescent="0.35"/>
    <row r="1122" ht="15.75" customHeight="1" x14ac:dyDescent="0.35"/>
    <row r="1123" ht="15.75" customHeight="1" x14ac:dyDescent="0.35"/>
    <row r="1124" ht="15.75" customHeight="1" x14ac:dyDescent="0.35"/>
    <row r="1125" ht="15.75" customHeight="1" x14ac:dyDescent="0.35"/>
    <row r="1126" ht="15.75" customHeight="1" x14ac:dyDescent="0.35"/>
    <row r="1127" ht="15.75" customHeight="1" x14ac:dyDescent="0.35"/>
    <row r="1128" ht="15.75" customHeight="1" x14ac:dyDescent="0.35"/>
    <row r="1129" ht="15.75" customHeight="1" x14ac:dyDescent="0.35"/>
    <row r="1130" ht="15.75" customHeight="1" x14ac:dyDescent="0.35"/>
    <row r="1131" ht="15.75" customHeight="1" x14ac:dyDescent="0.35"/>
    <row r="1132" ht="15.75" customHeight="1" x14ac:dyDescent="0.35"/>
    <row r="1133" ht="15.75" customHeight="1" x14ac:dyDescent="0.35"/>
    <row r="1134" ht="15.75" customHeight="1" x14ac:dyDescent="0.35"/>
    <row r="1135" ht="15.75" customHeight="1" x14ac:dyDescent="0.35"/>
    <row r="1136" ht="15.75" customHeight="1" x14ac:dyDescent="0.35"/>
    <row r="1137" ht="15.75" customHeight="1" x14ac:dyDescent="0.35"/>
    <row r="1138" ht="15.75" customHeight="1" x14ac:dyDescent="0.35"/>
    <row r="1139" ht="15.75" customHeight="1" x14ac:dyDescent="0.35"/>
    <row r="1140" ht="15.75" customHeight="1" x14ac:dyDescent="0.35"/>
    <row r="1141" ht="15.75" customHeight="1" x14ac:dyDescent="0.35"/>
    <row r="1142" ht="15.75" customHeight="1" x14ac:dyDescent="0.35"/>
    <row r="1143" ht="15.75" customHeight="1" x14ac:dyDescent="0.35"/>
    <row r="1144" ht="15.75" customHeight="1" x14ac:dyDescent="0.35"/>
    <row r="1145" ht="15.75" customHeight="1" x14ac:dyDescent="0.35"/>
    <row r="1146" ht="15.75" customHeight="1" x14ac:dyDescent="0.35"/>
    <row r="1147" ht="15.75" customHeight="1" x14ac:dyDescent="0.35"/>
    <row r="1148" ht="15.75" customHeight="1" x14ac:dyDescent="0.35"/>
    <row r="1149" ht="15.75" customHeight="1" x14ac:dyDescent="0.35"/>
    <row r="1150" ht="15.75" customHeight="1" x14ac:dyDescent="0.35"/>
    <row r="1151" ht="15.75" customHeight="1" x14ac:dyDescent="0.35"/>
    <row r="1152" ht="15.75" customHeight="1" x14ac:dyDescent="0.35"/>
    <row r="1153" ht="15.75" customHeight="1" x14ac:dyDescent="0.35"/>
    <row r="1154" ht="15.75" customHeight="1" x14ac:dyDescent="0.35"/>
    <row r="1155" ht="15.75" customHeight="1" x14ac:dyDescent="0.35"/>
    <row r="1156" ht="15.75" customHeight="1" x14ac:dyDescent="0.35"/>
    <row r="1157" ht="15.75" customHeight="1" x14ac:dyDescent="0.35"/>
    <row r="1158" ht="15.75" customHeight="1" x14ac:dyDescent="0.35"/>
    <row r="1159" ht="15.75" customHeight="1" x14ac:dyDescent="0.35"/>
    <row r="1160" ht="15.75" customHeight="1" x14ac:dyDescent="0.35"/>
    <row r="1161" ht="15.75" customHeight="1" x14ac:dyDescent="0.35"/>
    <row r="1162" ht="15.75" customHeight="1" x14ac:dyDescent="0.35"/>
    <row r="1163" ht="15.75" customHeight="1" x14ac:dyDescent="0.35"/>
    <row r="1164" ht="15.75" customHeight="1" x14ac:dyDescent="0.35"/>
    <row r="1165" ht="15.75" customHeight="1" x14ac:dyDescent="0.35"/>
    <row r="1166" ht="15.75" customHeight="1" x14ac:dyDescent="0.35"/>
    <row r="1167" ht="15.75" customHeight="1" x14ac:dyDescent="0.35"/>
    <row r="1168" ht="15.75" customHeight="1" x14ac:dyDescent="0.35"/>
    <row r="1169" ht="15.75" customHeight="1" x14ac:dyDescent="0.35"/>
    <row r="1170" ht="15.75" customHeight="1" x14ac:dyDescent="0.35"/>
    <row r="1171" ht="15.75" customHeight="1" x14ac:dyDescent="0.35"/>
    <row r="1172" ht="15.75" customHeight="1" x14ac:dyDescent="0.35"/>
    <row r="1173" ht="15.75" customHeight="1" x14ac:dyDescent="0.35"/>
    <row r="1174" ht="15.75" customHeight="1" x14ac:dyDescent="0.35"/>
    <row r="1175" ht="15.75" customHeight="1" x14ac:dyDescent="0.35"/>
    <row r="1176" ht="15.75" customHeight="1" x14ac:dyDescent="0.35"/>
    <row r="1177" ht="15.75" customHeight="1" x14ac:dyDescent="0.35"/>
    <row r="1178" ht="15.75" customHeight="1" x14ac:dyDescent="0.35"/>
    <row r="1179" ht="15.75" customHeight="1" x14ac:dyDescent="0.35"/>
    <row r="1180" ht="15.75" customHeight="1" x14ac:dyDescent="0.35"/>
    <row r="1181" ht="15.75" customHeight="1" x14ac:dyDescent="0.35"/>
    <row r="1182" ht="15.75" customHeight="1" x14ac:dyDescent="0.35"/>
    <row r="1183" ht="15.75" customHeight="1" x14ac:dyDescent="0.35"/>
    <row r="1184" ht="15.75" customHeight="1" x14ac:dyDescent="0.35"/>
    <row r="1185" ht="15.75" customHeight="1" x14ac:dyDescent="0.35"/>
    <row r="1186" ht="15.75" customHeight="1" x14ac:dyDescent="0.35"/>
    <row r="1187" ht="15.75" customHeight="1" x14ac:dyDescent="0.35"/>
    <row r="1188" ht="15.75" customHeight="1" x14ac:dyDescent="0.35"/>
    <row r="1189" ht="15.75" customHeight="1" x14ac:dyDescent="0.35"/>
    <row r="1190" ht="15.75" customHeight="1" x14ac:dyDescent="0.35"/>
    <row r="1191" ht="15.75" customHeight="1" x14ac:dyDescent="0.35"/>
    <row r="1192" ht="15.75" customHeight="1" x14ac:dyDescent="0.35"/>
    <row r="1193" ht="15.75" customHeight="1" x14ac:dyDescent="0.35"/>
    <row r="1194" ht="15.75" customHeight="1" x14ac:dyDescent="0.35"/>
    <row r="1195" ht="15.75" customHeight="1" x14ac:dyDescent="0.35"/>
    <row r="1196" ht="15.75" customHeight="1" x14ac:dyDescent="0.35"/>
    <row r="1197" ht="15.75" customHeight="1" x14ac:dyDescent="0.35"/>
    <row r="1198" ht="15.75" customHeight="1" x14ac:dyDescent="0.35"/>
    <row r="1199" ht="15.75" customHeight="1" x14ac:dyDescent="0.35"/>
    <row r="1200" ht="15.75" customHeight="1" x14ac:dyDescent="0.35"/>
    <row r="1201" ht="15.75" customHeight="1" x14ac:dyDescent="0.35"/>
    <row r="1202" ht="15.75" customHeight="1" x14ac:dyDescent="0.35"/>
    <row r="1203" ht="15.75" customHeight="1" x14ac:dyDescent="0.35"/>
    <row r="1204" ht="15.75" customHeight="1" x14ac:dyDescent="0.35"/>
    <row r="1205" ht="15.75" customHeight="1" x14ac:dyDescent="0.35"/>
    <row r="1206" ht="15.75" customHeight="1" x14ac:dyDescent="0.35"/>
    <row r="1207" ht="15.75" customHeight="1" x14ac:dyDescent="0.35"/>
    <row r="1208" ht="15.75" customHeight="1" x14ac:dyDescent="0.35"/>
    <row r="1209" ht="15.75" customHeight="1" x14ac:dyDescent="0.35"/>
    <row r="1210" ht="15.75" customHeight="1" x14ac:dyDescent="0.35"/>
    <row r="1211" ht="15.75" customHeight="1" x14ac:dyDescent="0.35"/>
    <row r="1212" ht="15.75" customHeight="1" x14ac:dyDescent="0.35"/>
    <row r="1213" ht="15.75" customHeight="1" x14ac:dyDescent="0.35"/>
    <row r="1214" ht="15.75" customHeight="1" x14ac:dyDescent="0.35"/>
    <row r="1215" ht="15.75" customHeight="1" x14ac:dyDescent="0.35"/>
    <row r="1216" ht="15.75" customHeight="1" x14ac:dyDescent="0.35"/>
    <row r="1217" ht="15.75" customHeight="1" x14ac:dyDescent="0.35"/>
    <row r="1218" ht="15.75" customHeight="1" x14ac:dyDescent="0.35"/>
    <row r="1219" ht="15.75" customHeight="1" x14ac:dyDescent="0.35"/>
    <row r="1220" ht="15.75" customHeight="1" x14ac:dyDescent="0.35"/>
    <row r="1221" ht="15.75" customHeight="1" x14ac:dyDescent="0.35"/>
    <row r="1222" ht="15.75" customHeight="1" x14ac:dyDescent="0.35"/>
    <row r="1223" ht="15.75" customHeight="1" x14ac:dyDescent="0.35"/>
    <row r="1224" ht="15.75" customHeight="1" x14ac:dyDescent="0.35"/>
    <row r="1225" ht="15.75" customHeight="1" x14ac:dyDescent="0.35"/>
    <row r="1226" ht="15.75" customHeight="1" x14ac:dyDescent="0.35"/>
    <row r="1227" ht="15.75" customHeight="1" x14ac:dyDescent="0.35"/>
    <row r="1228" ht="15.75" customHeight="1" x14ac:dyDescent="0.35"/>
    <row r="1229" ht="15.75" customHeight="1" x14ac:dyDescent="0.35"/>
    <row r="1230" ht="15.75" customHeight="1" x14ac:dyDescent="0.35"/>
    <row r="1231" ht="15.75" customHeight="1" x14ac:dyDescent="0.35"/>
    <row r="1232" ht="15.75" customHeight="1" x14ac:dyDescent="0.35"/>
    <row r="1233" ht="15.75" customHeight="1" x14ac:dyDescent="0.35"/>
    <row r="1234" ht="15.75" customHeight="1" x14ac:dyDescent="0.35"/>
    <row r="1235" ht="15.75" customHeight="1" x14ac:dyDescent="0.35"/>
    <row r="1236" ht="15.75" customHeight="1" x14ac:dyDescent="0.35"/>
    <row r="1237" ht="15.75" customHeight="1" x14ac:dyDescent="0.35"/>
    <row r="1238" ht="15.75" customHeight="1" x14ac:dyDescent="0.35"/>
    <row r="1239" ht="15.75" customHeight="1" x14ac:dyDescent="0.35"/>
    <row r="1240" ht="15.75" customHeight="1" x14ac:dyDescent="0.35"/>
    <row r="1241" ht="15.75" customHeight="1" x14ac:dyDescent="0.35"/>
    <row r="1242" ht="15.75" customHeight="1" x14ac:dyDescent="0.35"/>
    <row r="1243" ht="15.75" customHeight="1" x14ac:dyDescent="0.35"/>
    <row r="1244" ht="15.75" customHeight="1" x14ac:dyDescent="0.35"/>
    <row r="1245" ht="15.75" customHeight="1" x14ac:dyDescent="0.35"/>
    <row r="1246" ht="15.75" customHeight="1" x14ac:dyDescent="0.35"/>
    <row r="1247" ht="15.75" customHeight="1" x14ac:dyDescent="0.35"/>
    <row r="1248" ht="15.75" customHeight="1" x14ac:dyDescent="0.35"/>
    <row r="1249" ht="15.75" customHeight="1" x14ac:dyDescent="0.35"/>
    <row r="1250" ht="15.75" customHeight="1" x14ac:dyDescent="0.35"/>
    <row r="1251" ht="15.75" customHeight="1" x14ac:dyDescent="0.35"/>
    <row r="1252" ht="15.75" customHeight="1" x14ac:dyDescent="0.35"/>
    <row r="1253" ht="15.75" customHeight="1" x14ac:dyDescent="0.35"/>
    <row r="1254" ht="15.75" customHeight="1" x14ac:dyDescent="0.35"/>
    <row r="1255" ht="15.75" customHeight="1" x14ac:dyDescent="0.35"/>
    <row r="1256" ht="15.75" customHeight="1" x14ac:dyDescent="0.35"/>
    <row r="1257" ht="15.75" customHeight="1" x14ac:dyDescent="0.35"/>
    <row r="1258" ht="15.75" customHeight="1" x14ac:dyDescent="0.35"/>
    <row r="1259" ht="15.75" customHeight="1" x14ac:dyDescent="0.35"/>
    <row r="1260" ht="15.75" customHeight="1" x14ac:dyDescent="0.35"/>
    <row r="1261" ht="15.75" customHeight="1" x14ac:dyDescent="0.35"/>
    <row r="1262" ht="15.75" customHeight="1" x14ac:dyDescent="0.35"/>
    <row r="1263" ht="15.75" customHeight="1" x14ac:dyDescent="0.35"/>
    <row r="1264" ht="15.75" customHeight="1" x14ac:dyDescent="0.35"/>
    <row r="1265" ht="15.75" customHeight="1" x14ac:dyDescent="0.35"/>
    <row r="1266" ht="15.75" customHeight="1" x14ac:dyDescent="0.35"/>
    <row r="1267" ht="15.75" customHeight="1" x14ac:dyDescent="0.35"/>
    <row r="1268" ht="15.75" customHeight="1" x14ac:dyDescent="0.35"/>
    <row r="1269" ht="15.75" customHeight="1" x14ac:dyDescent="0.35"/>
    <row r="1270" ht="15.75" customHeight="1" x14ac:dyDescent="0.35"/>
    <row r="1271" ht="15.75" customHeight="1" x14ac:dyDescent="0.35"/>
    <row r="1272" ht="15.75" customHeight="1" x14ac:dyDescent="0.35"/>
    <row r="1273" ht="15.75" customHeight="1" x14ac:dyDescent="0.35"/>
    <row r="1274" ht="15.75" customHeight="1" x14ac:dyDescent="0.35"/>
    <row r="1275" ht="15.75" customHeight="1" x14ac:dyDescent="0.35"/>
    <row r="1276" ht="15.75" customHeight="1" x14ac:dyDescent="0.35"/>
    <row r="1277" ht="15.75" customHeight="1" x14ac:dyDescent="0.35"/>
    <row r="1278" ht="15.75" customHeight="1" x14ac:dyDescent="0.35"/>
    <row r="1279" ht="15.75" customHeight="1" x14ac:dyDescent="0.35"/>
    <row r="1280" ht="15.75" customHeight="1" x14ac:dyDescent="0.35"/>
    <row r="1281" ht="15.75" customHeight="1" x14ac:dyDescent="0.35"/>
    <row r="1282" ht="15.75" customHeight="1" x14ac:dyDescent="0.35"/>
    <row r="1283" ht="15.75" customHeight="1" x14ac:dyDescent="0.35"/>
    <row r="1284" ht="15.75" customHeight="1" x14ac:dyDescent="0.35"/>
    <row r="1285" ht="15.75" customHeight="1" x14ac:dyDescent="0.35"/>
    <row r="1286" ht="15.75" customHeight="1" x14ac:dyDescent="0.35"/>
    <row r="1287" ht="15.75" customHeight="1" x14ac:dyDescent="0.35"/>
    <row r="1288" ht="15.75" customHeight="1" x14ac:dyDescent="0.35"/>
    <row r="1289" ht="15.75" customHeight="1" x14ac:dyDescent="0.35"/>
    <row r="1290" ht="15.75" customHeight="1" x14ac:dyDescent="0.35"/>
    <row r="1291" ht="15.75" customHeight="1" x14ac:dyDescent="0.35"/>
    <row r="1292" ht="15.75" customHeight="1" x14ac:dyDescent="0.35"/>
    <row r="1293" ht="15.75" customHeight="1" x14ac:dyDescent="0.35"/>
    <row r="1294" ht="15.75" customHeight="1" x14ac:dyDescent="0.35"/>
    <row r="1295" ht="15.75" customHeight="1" x14ac:dyDescent="0.35"/>
    <row r="1296" ht="15.75" customHeight="1" x14ac:dyDescent="0.35"/>
    <row r="1297" ht="15.75" customHeight="1" x14ac:dyDescent="0.35"/>
    <row r="1298" ht="15.75" customHeight="1" x14ac:dyDescent="0.35"/>
    <row r="1299" ht="15.75" customHeight="1" x14ac:dyDescent="0.35"/>
    <row r="1300" ht="15.75" customHeight="1" x14ac:dyDescent="0.35"/>
    <row r="1301" ht="15.75" customHeight="1" x14ac:dyDescent="0.35"/>
    <row r="1302" ht="15.75" customHeight="1" x14ac:dyDescent="0.35"/>
    <row r="1303" ht="15.75" customHeight="1" x14ac:dyDescent="0.35"/>
    <row r="1304" ht="15.75" customHeight="1" x14ac:dyDescent="0.35"/>
    <row r="1305" ht="15.75" customHeight="1" x14ac:dyDescent="0.35"/>
    <row r="1306" ht="15.75" customHeight="1" x14ac:dyDescent="0.35"/>
    <row r="1307" ht="15.75" customHeight="1" x14ac:dyDescent="0.35"/>
    <row r="1308" ht="15.75" customHeight="1" x14ac:dyDescent="0.35"/>
    <row r="1309" ht="15.75" customHeight="1" x14ac:dyDescent="0.35"/>
    <row r="1310" ht="15.75" customHeight="1" x14ac:dyDescent="0.35"/>
    <row r="1311" ht="15.75" customHeight="1" x14ac:dyDescent="0.35"/>
    <row r="1312" ht="15.75" customHeight="1" x14ac:dyDescent="0.35"/>
    <row r="1313" ht="15.75" customHeight="1" x14ac:dyDescent="0.35"/>
    <row r="1314" ht="15.75" customHeight="1" x14ac:dyDescent="0.35"/>
    <row r="1315" ht="15.75" customHeight="1" x14ac:dyDescent="0.35"/>
    <row r="1316" ht="15.75" customHeight="1" x14ac:dyDescent="0.35"/>
    <row r="1317" ht="15.75" customHeight="1" x14ac:dyDescent="0.35"/>
    <row r="1318" ht="15.75" customHeight="1" x14ac:dyDescent="0.35"/>
    <row r="1319" ht="15.75" customHeight="1" x14ac:dyDescent="0.35"/>
    <row r="1320" ht="15.75" customHeight="1" x14ac:dyDescent="0.35"/>
    <row r="1321" ht="15.75" customHeight="1" x14ac:dyDescent="0.35"/>
    <row r="1322" ht="15.75" customHeight="1" x14ac:dyDescent="0.35"/>
    <row r="1323" ht="15.75" customHeight="1" x14ac:dyDescent="0.35"/>
    <row r="1324" ht="15.75" customHeight="1" x14ac:dyDescent="0.35"/>
    <row r="1325" ht="15.75" customHeight="1" x14ac:dyDescent="0.35"/>
    <row r="1326" ht="15.75" customHeight="1" x14ac:dyDescent="0.35"/>
    <row r="1327" ht="15.75" customHeight="1" x14ac:dyDescent="0.35"/>
    <row r="1328" ht="15.75" customHeight="1" x14ac:dyDescent="0.35"/>
    <row r="1329" ht="15.75" customHeight="1" x14ac:dyDescent="0.35"/>
    <row r="1330" ht="15.75" customHeight="1" x14ac:dyDescent="0.35"/>
    <row r="1331" ht="15.75" customHeight="1" x14ac:dyDescent="0.35"/>
    <row r="1332" ht="15.75" customHeight="1" x14ac:dyDescent="0.35"/>
    <row r="1333" ht="15.75" customHeight="1" x14ac:dyDescent="0.35"/>
    <row r="1334" ht="15.75" customHeight="1" x14ac:dyDescent="0.35"/>
    <row r="1335" ht="15.75" customHeight="1" x14ac:dyDescent="0.35"/>
    <row r="1336" ht="15.75" customHeight="1" x14ac:dyDescent="0.35"/>
    <row r="1337" ht="15.75" customHeight="1" x14ac:dyDescent="0.35"/>
    <row r="1338" ht="15.75" customHeight="1" x14ac:dyDescent="0.35"/>
    <row r="1339" ht="15.75" customHeight="1" x14ac:dyDescent="0.35"/>
    <row r="1340" ht="15.75" customHeight="1" x14ac:dyDescent="0.35"/>
    <row r="1341" ht="15.75" customHeight="1" x14ac:dyDescent="0.35"/>
    <row r="1342" ht="15.75" customHeight="1" x14ac:dyDescent="0.35"/>
    <row r="1343" ht="15.75" customHeight="1" x14ac:dyDescent="0.35"/>
    <row r="1344" ht="15.75" customHeight="1" x14ac:dyDescent="0.35"/>
    <row r="1345" ht="15.75" customHeight="1" x14ac:dyDescent="0.35"/>
    <row r="1346" ht="15.75" customHeight="1" x14ac:dyDescent="0.35"/>
    <row r="1347" ht="15.75" customHeight="1" x14ac:dyDescent="0.35"/>
    <row r="1348" ht="15.75" customHeight="1" x14ac:dyDescent="0.35"/>
    <row r="1349" ht="15.75" customHeight="1" x14ac:dyDescent="0.35"/>
    <row r="1350" ht="15.75" customHeight="1" x14ac:dyDescent="0.35"/>
    <row r="1351" ht="15.75" customHeight="1" x14ac:dyDescent="0.35"/>
    <row r="1352" ht="15.75" customHeight="1" x14ac:dyDescent="0.35"/>
    <row r="1353" ht="15.75" customHeight="1" x14ac:dyDescent="0.35"/>
    <row r="1354" ht="15.75" customHeight="1" x14ac:dyDescent="0.35"/>
    <row r="1355" ht="15.75" customHeight="1" x14ac:dyDescent="0.35"/>
    <row r="1356" ht="15.75" customHeight="1" x14ac:dyDescent="0.35"/>
    <row r="1357" ht="15.75" customHeight="1" x14ac:dyDescent="0.35"/>
    <row r="1358" ht="15.75" customHeight="1" x14ac:dyDescent="0.35"/>
    <row r="1359" ht="15.75" customHeight="1" x14ac:dyDescent="0.35"/>
    <row r="1360" ht="15.75" customHeight="1" x14ac:dyDescent="0.35"/>
    <row r="1361" ht="15.75" customHeight="1" x14ac:dyDescent="0.35"/>
    <row r="1362" ht="15.75" customHeight="1" x14ac:dyDescent="0.35"/>
    <row r="1363" ht="15.75" customHeight="1" x14ac:dyDescent="0.35"/>
    <row r="1364" ht="15.75" customHeight="1" x14ac:dyDescent="0.35"/>
    <row r="1365" ht="15.75" customHeight="1" x14ac:dyDescent="0.35"/>
    <row r="1366" ht="15.75" customHeight="1" x14ac:dyDescent="0.35"/>
    <row r="1367" ht="15.75" customHeight="1" x14ac:dyDescent="0.35"/>
    <row r="1368" ht="15.75" customHeight="1" x14ac:dyDescent="0.35"/>
    <row r="1369" ht="15.75" customHeight="1" x14ac:dyDescent="0.35"/>
    <row r="1370" ht="15.75" customHeight="1" x14ac:dyDescent="0.35"/>
    <row r="1371" ht="15.75" customHeight="1" x14ac:dyDescent="0.35"/>
    <row r="1372" ht="15.75" customHeight="1" x14ac:dyDescent="0.35"/>
    <row r="1373" ht="15.75" customHeight="1" x14ac:dyDescent="0.35"/>
    <row r="1374" ht="15.75" customHeight="1" x14ac:dyDescent="0.35"/>
    <row r="1375" ht="15.75" customHeight="1" x14ac:dyDescent="0.35"/>
    <row r="1376" ht="15.75" customHeight="1" x14ac:dyDescent="0.35"/>
    <row r="1377" ht="15.75" customHeight="1" x14ac:dyDescent="0.35"/>
    <row r="1378" ht="15.75" customHeight="1" x14ac:dyDescent="0.35"/>
    <row r="1379" ht="15.75" customHeight="1" x14ac:dyDescent="0.35"/>
    <row r="1380" ht="15.75" customHeight="1" x14ac:dyDescent="0.35"/>
    <row r="1381" ht="15.75" customHeight="1" x14ac:dyDescent="0.35"/>
    <row r="1382" ht="15.75" customHeight="1" x14ac:dyDescent="0.35"/>
    <row r="1383" ht="15.75" customHeight="1" x14ac:dyDescent="0.35"/>
    <row r="1384" ht="15.75" customHeight="1" x14ac:dyDescent="0.35"/>
    <row r="1385" ht="15.75" customHeight="1" x14ac:dyDescent="0.35"/>
    <row r="1386" ht="15.75" customHeight="1" x14ac:dyDescent="0.35"/>
    <row r="1387" ht="15.75" customHeight="1" x14ac:dyDescent="0.35"/>
    <row r="1388" ht="15.75" customHeight="1" x14ac:dyDescent="0.35"/>
    <row r="1389" ht="15.75" customHeight="1" x14ac:dyDescent="0.35"/>
    <row r="1390" ht="15.75" customHeight="1" x14ac:dyDescent="0.35"/>
    <row r="1391" ht="15.75" customHeight="1" x14ac:dyDescent="0.35"/>
    <row r="1392" ht="15.75" customHeight="1" x14ac:dyDescent="0.35"/>
    <row r="1393" ht="15.75" customHeight="1" x14ac:dyDescent="0.35"/>
    <row r="1394" ht="15.75" customHeight="1" x14ac:dyDescent="0.35"/>
    <row r="1395" ht="15.75" customHeight="1" x14ac:dyDescent="0.35"/>
    <row r="1396" ht="15.75" customHeight="1" x14ac:dyDescent="0.35"/>
    <row r="1397" ht="15.75" customHeight="1" x14ac:dyDescent="0.35"/>
    <row r="1398" ht="15.75" customHeight="1" x14ac:dyDescent="0.35"/>
    <row r="1399" ht="15.75" customHeight="1" x14ac:dyDescent="0.35"/>
    <row r="1400" ht="15.75" customHeight="1" x14ac:dyDescent="0.35"/>
    <row r="1401" ht="15.75" customHeight="1" x14ac:dyDescent="0.35"/>
    <row r="1402" ht="15.75" customHeight="1" x14ac:dyDescent="0.35"/>
    <row r="1403" ht="15.75" customHeight="1" x14ac:dyDescent="0.35"/>
    <row r="1404" ht="15.75" customHeight="1" x14ac:dyDescent="0.35"/>
    <row r="1405" ht="15.75" customHeight="1" x14ac:dyDescent="0.35"/>
    <row r="1406" ht="15.75" customHeight="1" x14ac:dyDescent="0.35"/>
    <row r="1407" ht="15.75" customHeight="1" x14ac:dyDescent="0.35"/>
    <row r="1408" ht="15.75" customHeight="1" x14ac:dyDescent="0.35"/>
    <row r="1409" ht="15.75" customHeight="1" x14ac:dyDescent="0.35"/>
    <row r="1410" ht="15.75" customHeight="1" x14ac:dyDescent="0.35"/>
    <row r="1411" ht="15.75" customHeight="1" x14ac:dyDescent="0.35"/>
    <row r="1412" ht="15.75" customHeight="1" x14ac:dyDescent="0.35"/>
    <row r="1413" ht="15.75" customHeight="1" x14ac:dyDescent="0.35"/>
    <row r="1414" ht="15.75" customHeight="1" x14ac:dyDescent="0.35"/>
    <row r="1415" ht="15.75" customHeight="1" x14ac:dyDescent="0.35"/>
    <row r="1416" ht="15.75" customHeight="1" x14ac:dyDescent="0.35"/>
    <row r="1417" ht="15.75" customHeight="1" x14ac:dyDescent="0.35"/>
    <row r="1418" ht="15.75" customHeight="1" x14ac:dyDescent="0.35"/>
    <row r="1419" ht="15.75" customHeight="1" x14ac:dyDescent="0.35"/>
    <row r="1420" ht="15.75" customHeight="1" x14ac:dyDescent="0.35"/>
    <row r="1421" ht="15.75" customHeight="1" x14ac:dyDescent="0.35"/>
    <row r="1422" ht="15.75" customHeight="1" x14ac:dyDescent="0.35"/>
    <row r="1423" ht="15.75" customHeight="1" x14ac:dyDescent="0.35"/>
    <row r="1424" ht="15.75" customHeight="1" x14ac:dyDescent="0.35"/>
    <row r="1425" ht="15.75" customHeight="1" x14ac:dyDescent="0.35"/>
    <row r="1426" ht="15.75" customHeight="1" x14ac:dyDescent="0.35"/>
    <row r="1427" ht="15.75" customHeight="1" x14ac:dyDescent="0.35"/>
    <row r="1428" ht="15.75" customHeight="1" x14ac:dyDescent="0.35"/>
    <row r="1429" ht="15.75" customHeight="1" x14ac:dyDescent="0.35"/>
    <row r="1430" ht="15.75" customHeight="1" x14ac:dyDescent="0.35"/>
    <row r="1431" ht="15.75" customHeight="1" x14ac:dyDescent="0.35"/>
    <row r="1432" ht="15.75" customHeight="1" x14ac:dyDescent="0.35"/>
    <row r="1433" ht="15.75" customHeight="1" x14ac:dyDescent="0.35"/>
    <row r="1434" ht="15.75" customHeight="1" x14ac:dyDescent="0.35"/>
    <row r="1435" ht="15.75" customHeight="1" x14ac:dyDescent="0.35"/>
    <row r="1436" ht="15.75" customHeight="1" x14ac:dyDescent="0.35"/>
    <row r="1437" ht="15.75" customHeight="1" x14ac:dyDescent="0.35"/>
    <row r="1438" ht="15.75" customHeight="1" x14ac:dyDescent="0.35"/>
    <row r="1439" ht="15.75" customHeight="1" x14ac:dyDescent="0.35"/>
    <row r="1440" ht="15.75" customHeight="1" x14ac:dyDescent="0.35"/>
    <row r="1441" ht="15.75" customHeight="1" x14ac:dyDescent="0.35"/>
    <row r="1442" ht="15.75" customHeight="1" x14ac:dyDescent="0.35"/>
    <row r="1443" ht="15.75" customHeight="1" x14ac:dyDescent="0.35"/>
    <row r="1444" ht="15.75" customHeight="1" x14ac:dyDescent="0.35"/>
    <row r="1445" ht="15.75" customHeight="1" x14ac:dyDescent="0.35"/>
    <row r="1446" ht="15.75" customHeight="1" x14ac:dyDescent="0.35"/>
    <row r="1447" ht="15.75" customHeight="1" x14ac:dyDescent="0.35"/>
    <row r="1448" ht="15.75" customHeight="1" x14ac:dyDescent="0.35"/>
    <row r="1449" ht="15.75" customHeight="1" x14ac:dyDescent="0.35"/>
    <row r="1450" ht="15.75" customHeight="1" x14ac:dyDescent="0.35"/>
    <row r="1451" ht="15.75" customHeight="1" x14ac:dyDescent="0.35"/>
    <row r="1452" ht="15.75" customHeight="1" x14ac:dyDescent="0.35"/>
    <row r="1453" ht="15.75" customHeight="1" x14ac:dyDescent="0.35"/>
    <row r="1454" ht="15.75" customHeight="1" x14ac:dyDescent="0.35"/>
    <row r="1455" ht="15.75" customHeight="1" x14ac:dyDescent="0.35"/>
    <row r="1456" ht="15.75" customHeight="1" x14ac:dyDescent="0.35"/>
    <row r="1457" ht="15.75" customHeight="1" x14ac:dyDescent="0.35"/>
    <row r="1458" ht="15.75" customHeight="1" x14ac:dyDescent="0.35"/>
    <row r="1459" ht="15.75" customHeight="1" x14ac:dyDescent="0.35"/>
    <row r="1460" ht="15.75" customHeight="1" x14ac:dyDescent="0.35"/>
    <row r="1461" ht="15.75" customHeight="1" x14ac:dyDescent="0.35"/>
    <row r="1462" ht="15.75" customHeight="1" x14ac:dyDescent="0.35"/>
    <row r="1463" ht="15.75" customHeight="1" x14ac:dyDescent="0.35"/>
    <row r="1464" ht="15.75" customHeight="1" x14ac:dyDescent="0.35"/>
    <row r="1465" ht="15.75" customHeight="1" x14ac:dyDescent="0.35"/>
    <row r="1466" ht="15.75" customHeight="1" x14ac:dyDescent="0.35"/>
    <row r="1467" ht="15.75" customHeight="1" x14ac:dyDescent="0.35"/>
    <row r="1468" ht="15.75" customHeight="1" x14ac:dyDescent="0.35"/>
    <row r="1469" ht="15.75" customHeight="1" x14ac:dyDescent="0.35"/>
    <row r="1470" ht="15.75" customHeight="1" x14ac:dyDescent="0.35"/>
    <row r="1471" ht="15.75" customHeight="1" x14ac:dyDescent="0.35"/>
    <row r="1472" ht="15.75" customHeight="1" x14ac:dyDescent="0.35"/>
    <row r="1473" ht="15.75" customHeight="1" x14ac:dyDescent="0.35"/>
    <row r="1474" ht="15.75" customHeight="1" x14ac:dyDescent="0.35"/>
    <row r="1475" ht="15.75" customHeight="1" x14ac:dyDescent="0.35"/>
    <row r="1476" ht="15.75" customHeight="1" x14ac:dyDescent="0.35"/>
    <row r="1477" ht="15.75" customHeight="1" x14ac:dyDescent="0.35"/>
    <row r="1478" ht="15.75" customHeight="1" x14ac:dyDescent="0.35"/>
    <row r="1479" ht="15.75" customHeight="1" x14ac:dyDescent="0.35"/>
    <row r="1480" ht="15.75" customHeight="1" x14ac:dyDescent="0.35"/>
    <row r="1481" ht="15.75" customHeight="1" x14ac:dyDescent="0.35"/>
    <row r="1482" ht="15.75" customHeight="1" x14ac:dyDescent="0.35"/>
    <row r="1483" ht="15.75" customHeight="1" x14ac:dyDescent="0.35"/>
    <row r="1484" ht="15.75" customHeight="1" x14ac:dyDescent="0.35"/>
    <row r="1485" ht="15.75" customHeight="1" x14ac:dyDescent="0.35"/>
    <row r="1486" ht="15.75" customHeight="1" x14ac:dyDescent="0.35"/>
    <row r="1487" ht="15.75" customHeight="1" x14ac:dyDescent="0.35"/>
    <row r="1488" ht="15.75" customHeight="1" x14ac:dyDescent="0.35"/>
    <row r="1489" ht="15.75" customHeight="1" x14ac:dyDescent="0.35"/>
    <row r="1490" ht="15.75" customHeight="1" x14ac:dyDescent="0.35"/>
    <row r="1491" ht="15.75" customHeight="1" x14ac:dyDescent="0.35"/>
    <row r="1492" ht="15.75" customHeight="1" x14ac:dyDescent="0.35"/>
    <row r="1493" ht="15.75" customHeight="1" x14ac:dyDescent="0.35"/>
    <row r="1494" ht="15.75" customHeight="1" x14ac:dyDescent="0.35"/>
    <row r="1495" ht="15.75" customHeight="1" x14ac:dyDescent="0.35"/>
    <row r="1496" ht="15.75" customHeight="1" x14ac:dyDescent="0.35"/>
    <row r="1497" ht="15.75" customHeight="1" x14ac:dyDescent="0.35"/>
    <row r="1498" ht="15.75" customHeight="1" x14ac:dyDescent="0.35"/>
    <row r="1499" ht="15.75" customHeight="1" x14ac:dyDescent="0.35"/>
    <row r="1500" ht="15.75" customHeight="1" x14ac:dyDescent="0.35"/>
    <row r="1501" ht="15.75" customHeight="1" x14ac:dyDescent="0.35"/>
    <row r="1502" ht="15.75" customHeight="1" x14ac:dyDescent="0.35"/>
    <row r="1503" ht="15.75" customHeight="1" x14ac:dyDescent="0.35"/>
    <row r="1504" ht="15.75" customHeight="1" x14ac:dyDescent="0.35"/>
    <row r="1505" ht="15.75" customHeight="1" x14ac:dyDescent="0.35"/>
    <row r="1506" ht="15.75" customHeight="1" x14ac:dyDescent="0.35"/>
    <row r="1507" ht="15.75" customHeight="1" x14ac:dyDescent="0.35"/>
    <row r="1508" ht="15.75" customHeight="1" x14ac:dyDescent="0.35"/>
    <row r="1509" ht="15.75" customHeight="1" x14ac:dyDescent="0.35"/>
    <row r="1510" ht="15.75" customHeight="1" x14ac:dyDescent="0.35"/>
    <row r="1511" ht="15.75" customHeight="1" x14ac:dyDescent="0.35"/>
    <row r="1512" ht="15.75" customHeight="1" x14ac:dyDescent="0.35"/>
    <row r="1513" ht="15.75" customHeight="1" x14ac:dyDescent="0.35"/>
    <row r="1514" ht="15.75" customHeight="1" x14ac:dyDescent="0.35"/>
    <row r="1515" ht="15.75" customHeight="1" x14ac:dyDescent="0.35"/>
    <row r="1516" ht="15.75" customHeight="1" x14ac:dyDescent="0.35"/>
    <row r="1517" ht="15.75" customHeight="1" x14ac:dyDescent="0.35"/>
    <row r="1518" ht="15.75" customHeight="1" x14ac:dyDescent="0.35"/>
    <row r="1519" ht="15.75" customHeight="1" x14ac:dyDescent="0.35"/>
    <row r="1520" ht="15.75" customHeight="1" x14ac:dyDescent="0.35"/>
    <row r="1521" ht="15.75" customHeight="1" x14ac:dyDescent="0.35"/>
    <row r="1522" ht="15.75" customHeight="1" x14ac:dyDescent="0.35"/>
    <row r="1523" ht="15.75" customHeight="1" x14ac:dyDescent="0.35"/>
    <row r="1524" ht="15.75" customHeight="1" x14ac:dyDescent="0.35"/>
    <row r="1525" ht="15.75" customHeight="1" x14ac:dyDescent="0.35"/>
    <row r="1526" ht="15.75" customHeight="1" x14ac:dyDescent="0.35"/>
    <row r="1527" ht="15.75" customHeight="1" x14ac:dyDescent="0.35"/>
    <row r="1528" ht="15.75" customHeight="1" x14ac:dyDescent="0.35"/>
    <row r="1529" ht="15.75" customHeight="1" x14ac:dyDescent="0.35"/>
    <row r="1530" ht="15.75" customHeight="1" x14ac:dyDescent="0.35"/>
    <row r="1531" ht="15.75" customHeight="1" x14ac:dyDescent="0.35"/>
    <row r="1532" ht="15.75" customHeight="1" x14ac:dyDescent="0.35"/>
    <row r="1533" ht="15.75" customHeight="1" x14ac:dyDescent="0.35"/>
    <row r="1534" ht="15.75" customHeight="1" x14ac:dyDescent="0.35"/>
    <row r="1535" ht="15.75" customHeight="1" x14ac:dyDescent="0.35"/>
    <row r="1536" ht="15.75" customHeight="1" x14ac:dyDescent="0.35"/>
    <row r="1537" ht="15.75" customHeight="1" x14ac:dyDescent="0.35"/>
    <row r="1538" ht="15.75" customHeight="1" x14ac:dyDescent="0.35"/>
    <row r="1539" ht="15.75" customHeight="1" x14ac:dyDescent="0.35"/>
    <row r="1540" ht="15.75" customHeight="1" x14ac:dyDescent="0.35"/>
    <row r="1541" ht="15.75" customHeight="1" x14ac:dyDescent="0.35"/>
    <row r="1542" ht="15.75" customHeight="1" x14ac:dyDescent="0.35"/>
    <row r="1543" ht="15.75" customHeight="1" x14ac:dyDescent="0.35"/>
    <row r="1544" ht="15.75" customHeight="1" x14ac:dyDescent="0.35"/>
    <row r="1545" ht="15.75" customHeight="1" x14ac:dyDescent="0.35"/>
    <row r="1546" ht="15.75" customHeight="1" x14ac:dyDescent="0.35"/>
    <row r="1547" ht="15.75" customHeight="1" x14ac:dyDescent="0.35"/>
    <row r="1548" ht="15.75" customHeight="1" x14ac:dyDescent="0.35"/>
    <row r="1549" ht="15.75" customHeight="1" x14ac:dyDescent="0.35"/>
    <row r="1550" ht="15.75" customHeight="1" x14ac:dyDescent="0.35"/>
    <row r="1551" ht="15.75" customHeight="1" x14ac:dyDescent="0.35"/>
    <row r="1552" ht="15.75" customHeight="1" x14ac:dyDescent="0.35"/>
    <row r="1553" ht="15.75" customHeight="1" x14ac:dyDescent="0.35"/>
    <row r="1554" ht="15.75" customHeight="1" x14ac:dyDescent="0.35"/>
    <row r="1555" ht="15.75" customHeight="1" x14ac:dyDescent="0.35"/>
  </sheetData>
  <conditionalFormatting sqref="A3:N1085">
    <cfRule type="expression" dxfId="4" priority="4">
      <formula>NOT(ISERROR(SEARCH(($C$1),(A3))))</formula>
    </cfRule>
    <cfRule type="expression" dxfId="3" priority="5">
      <formula>$C$3=""</formula>
    </cfRule>
  </conditionalFormatting>
  <conditionalFormatting sqref="E2">
    <cfRule type="containsText" dxfId="2" priority="1" operator="containsText" text="CD">
      <formula>NOT(ISERROR(SEARCH(("CD"),(E2))))</formula>
    </cfRule>
    <cfRule type="containsText" dxfId="1" priority="2" operator="containsText" text="DVD">
      <formula>NOT(ISERROR(SEARCH(("DVD"),(E2))))</formula>
    </cfRule>
    <cfRule type="containsText" dxfId="0" priority="3" operator="containsText" text="Book">
      <formula>NOT(ISERROR(SEARCH(("Book"),(E2))))</formula>
    </cfRule>
  </conditionalFormatting>
  <dataValidations count="1">
    <dataValidation type="list" allowBlank="1" showErrorMessage="1" sqref="E2" xr:uid="{00000000-0002-0000-0200-000000000000}">
      <formula1>"""Book""+""Dvd"""</formula1>
    </dataValidation>
  </dataValidations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Special Help Table</vt:lpstr>
      <vt:lpstr>Special Library Search</vt:lpstr>
      <vt:lpstr>Libraray Search</vt:lpstr>
      <vt:lpstr>'Special Help Table'!ExternalData_1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dwenger611@gmail.com</cp:lastModifiedBy>
  <dcterms:created xsi:type="dcterms:W3CDTF">2025-11-26T22:12:12Z</dcterms:created>
  <dcterms:modified xsi:type="dcterms:W3CDTF">2025-11-26T22:35:46Z</dcterms:modified>
</cp:coreProperties>
</file>